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76e2ab92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zt 36 mies" sheetId="1" r:id="R856ac306934d4249"/>
    <x:sheet xmlns:r="http://schemas.openxmlformats.org/officeDocument/2006/relationships" name="Ocena ofert" sheetId="2" r:id="R883fdc4e772c48fb"/>
    <x:sheet xmlns:r="http://schemas.openxmlformats.org/officeDocument/2006/relationships" name="Katalog uslug" sheetId="3" r:id="Raaf1a39a9dcb4d5b"/>
    <x:sheet xmlns:r="http://schemas.openxmlformats.org/officeDocument/2006/relationships" name="Brief do wyceny" sheetId="4" r:id="R2d230b239fe34f31"/>
    <x:sheet xmlns:r="http://schemas.openxmlformats.org/officeDocument/2006/relationships" name="Rejestr ryzyk" sheetId="5" r:id="Rc4c861a41aa04aa6"/>
    <x:sheet xmlns:r="http://schemas.openxmlformats.org/officeDocument/2006/relationships" name="Plan 90 dni" sheetId="6" r:id="Ref7093a755b54535"/>
    <x:sheet xmlns:r="http://schemas.openxmlformats.org/officeDocument/2006/relationships" name="Raport SLA" sheetId="7" r:id="R600dc89fe43e478a"/>
    <x:sheet xmlns:r="http://schemas.openxmlformats.org/officeDocument/2006/relationships" name="Rejestr korzysci" sheetId="8" r:id="R9be3b2bc34984a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.0%;(0.0%);&quot;—&quot;"/>
    <x:numFmt numFmtId="202" formatCode="0.0"/>
    <x:numFmt numFmtId="203" formatCode="dd/mm/yyyy"/>
    <x:numFmt numFmtId="204" formatCode="0.0;(0.0);&quot;—&quot;"/>
  </x:numFmts>
  <x:fonts count="10">
    <x:font>
      <x:sz val="11"/>
      <x:name val="Carlito"/>
    </x:font>
    <x:font>
      <x:sz val="10"/>
      <x:color rgb="FF17242B"/>
      <x:name val="Arial"/>
    </x:font>
    <x:font>
      <x:b/>
      <x:sz val="15"/>
      <x:color rgb="FF000000"/>
      <x:name val="Arial"/>
    </x:font>
    <x:font>
      <x:b/>
      <x:sz val="10"/>
      <x:color rgb="FF008000"/>
      <x:name val="Arial"/>
    </x:font>
    <x:font>
      <x:b/>
      <x:sz val="10"/>
      <x:color rgb="FFFFFFFF"/>
      <x:name val="Arial"/>
    </x:font>
    <x:font>
      <x:i/>
      <x:sz val="10"/>
      <x:color rgb="FF17242B"/>
      <x:name val="Arial"/>
    </x:font>
    <x:font>
      <x:b/>
      <x:sz val="10"/>
      <x:color rgb="FF17242B"/>
      <x:name val="Arial"/>
    </x:font>
    <x:font>
      <x:b/>
      <x:i/>
      <x:sz val="10"/>
      <x:color rgb="FF17242B"/>
      <x:name val="Arial"/>
    </x:font>
    <x:font>
      <x:sz val="10"/>
      <x:color rgb="FF58666D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B4B"/>
      </x:patternFill>
    </x:fill>
    <x:fill>
      <x:patternFill patternType="solid">
        <x:fgColor rgb="FFF0F5F5"/>
      </x:patternFill>
    </x:fill>
    <x:fill>
      <x:patternFill patternType="solid">
        <x:fgColor rgb="FFFFF2CC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C8D4D6"/>
      </x:bottom>
      <x:diagonal/>
    </x:border>
    <x:border>
      <x:left style="dotted">
        <x:color rgb="FF809B94"/>
      </x:left>
      <x:right style="dotted">
        <x:color rgb="FF809B94"/>
      </x:right>
      <x:top style="dotted">
        <x:color rgb="FF809B94"/>
      </x:top>
      <x:bottom style="dotted">
        <x:color rgb="FF809B9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/>
      <x:right/>
      <x:top/>
      <x:bottom style="thin">
        <x:color rgb="FF8BA3A7"/>
      </x:bottom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 applyAlignment="1">
      <x:alignment vertical="center"/>
    </x:xf>
    <x:xf numFmtId="201" fontId="9" fillId="4" borderId="0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6" xfId="0" applyNumberFormat="1" applyFont="1" applyFill="1" applyBorder="1" applyAlignment="1">
      <x:alignment horizontal="right" vertical="center"/>
    </x:xf>
    <x:xf numFmtId="200" fontId="1" fillId="0" borderId="6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9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4" fontId="9" fillId="4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  <x:dxf>
      <x:font>
        <x:b/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e65348f044392" /><Relationship Type="http://schemas.openxmlformats.org/officeDocument/2006/relationships/theme" Target="/xl/theme/theme1.xml" Id="R2097b6e8f1d04b38" /><Relationship Type="http://schemas.openxmlformats.org/officeDocument/2006/relationships/sharedStrings" Target="/xl/sharedStrings.xml" Id="Ref1adab750314166" /><Relationship Type="http://schemas.openxmlformats.org/officeDocument/2006/relationships/worksheet" Target="/xl/worksheets/sheet1.xml" Id="R856ac306934d4249" /><Relationship Type="http://schemas.openxmlformats.org/officeDocument/2006/relationships/worksheet" Target="/xl/worksheets/sheet2.xml" Id="R883fdc4e772c48fb" /><Relationship Type="http://schemas.openxmlformats.org/officeDocument/2006/relationships/worksheet" Target="/xl/worksheets/sheet3.xml" Id="Raaf1a39a9dcb4d5b" /><Relationship Type="http://schemas.openxmlformats.org/officeDocument/2006/relationships/worksheet" Target="/xl/worksheets/sheet4.xml" Id="R2d230b239fe34f31" /><Relationship Type="http://schemas.openxmlformats.org/officeDocument/2006/relationships/worksheet" Target="/xl/worksheets/sheet5.xml" Id="Rc4c861a41aa04aa6" /><Relationship Type="http://schemas.openxmlformats.org/officeDocument/2006/relationships/worksheet" Target="/xl/worksheets/sheet6.xml" Id="Ref7093a755b54535" /><Relationship Type="http://schemas.openxmlformats.org/officeDocument/2006/relationships/worksheet" Target="/xl/worksheets/sheet7.xml" Id="R600dc89fe43e478a" /><Relationship Type="http://schemas.openxmlformats.org/officeDocument/2006/relationships/worksheet" Target="/xl/worksheets/sheet8.xml" Id="R9be3b2bc34984a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B4B"/>
  </x:sheetPr>
  <x:sheetViews>
    <x:sheetView showGridLines="0" workbookViewId="0"/>
  </x:sheetViews>
  <x:sheetFormatPr defaultRowHeight="15"/>
  <x:cols>
    <x:col min="1" max="1" width="45" hidden="0" customWidth="1"/>
    <x:col min="2" max="2" width="22" hidden="0" customWidth="1"/>
    <x:col min="3" max="3" width="4" hidden="0" customWidth="1"/>
    <x:col min="4" max="4" width="9" hidden="0" customWidth="1"/>
    <x:col min="5" max="5" width="9" hidden="0" customWidth="1"/>
    <x:col min="6" max="6" width="19" hidden="0" customWidth="1"/>
    <x:col min="7" max="7" width="19" hidden="0" customWidth="1"/>
    <x:col min="8" max="8" width="18" hidden="0" customWidth="1"/>
    <x:col min="9" max="9" width="19" hidden="0" customWidth="1"/>
    <x:col min="10" max="10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Koszt obsługi IT w 36 miesięcy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Aktywny wariant:</x:v>
      </x:c>
      <x:c r="B3" s="7" t="str">
        <x:f>CHOOSE($B$14,"Pełne przejęcie","Model mieszany","Cały zespół zostaje")</x:f>
        <x:v>Pełne przejęcie</x:v>
      </x:c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34" customHeight="1">
      <x:c r="A5" s="14" t="str">
        <x:v>Wynik / wartości nominalne w zł</x:v>
      </x:c>
      <x:c r="B5" s="15" t="str">
        <x:v>Kwota</x:v>
      </x:c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Koszt własny w 36 miesięcy</x:v>
      </x:c>
      <x:c r="B6" s="16" t="n">
        <x:f>IF(COUNT(F16:F51)=36,SUM(F16:F51),"brak danych")</x:f>
        <x:v>890179.1999999997</x:v>
      </x:c>
      <x:c r="C6" s="2"/>
      <x:c r="D6" s="28" t="str">
        <x:v>Dodatnia różnica oznacza niższy koszt modelu zewnętrznego.</x:v>
      </x:c>
      <x:c r="E6" s="28"/>
      <x:c r="F6" s="28"/>
      <x:c r="G6" s="28"/>
      <x:c r="H6" s="28"/>
      <x:c r="I6" s="28"/>
      <x:c r="J6" s="28"/>
    </x:row>
    <x:row r="7" ht="25" customHeight="1">
      <x:c r="A7" s="2" t="str">
        <x:v>Koszt zewnętrzny w 36 miesięcy</x:v>
      </x:c>
      <x:c r="B7" s="16" t="n">
        <x:f>IF(AND(COUNT(G16:G51)=36,COUNT(H16:H51)=36),SUM(G16:G51)+SUM(H16:H51),"brak danych")</x:f>
        <x:v>579450</x:v>
      </x:c>
      <x:c r="C7" s="2"/>
      <x:c r="D7" s="28" t="str">
        <x:v>To scenariusz ilustracyjny, a nie oferta IT Crew.</x:v>
      </x:c>
      <x:c r="E7" s="28"/>
      <x:c r="F7" s="28"/>
      <x:c r="G7" s="28"/>
      <x:c r="H7" s="28"/>
      <x:c r="I7" s="28"/>
      <x:c r="J7" s="28"/>
    </x:row>
    <x:row r="8" ht="25" customHeight="1">
      <x:c r="A8" s="24" t="str">
        <x:v>Różnica w 36 miesięcy</x:v>
      </x:c>
      <x:c r="B8" s="25" t="n">
        <x:f>IF(COUNT(B6:B7)=2,B6-B7,"brak danych")</x:f>
        <x:v>310729.1999999997</x:v>
      </x:c>
      <x:c r="C8" s="2"/>
      <x:c r="D8" s="28" t="str">
        <x:v>Koszt personelu pozostającego w firmie jest uwzględniony w wariancie.</x:v>
      </x:c>
      <x:c r="E8" s="28"/>
      <x:c r="F8" s="28"/>
      <x:c r="G8" s="28"/>
      <x:c r="H8" s="28"/>
      <x:c r="I8" s="28"/>
      <x:c r="J8" s="28"/>
    </x:row>
    <x:row r="9" ht="25" customHeight="1">
      <x:c r="A9" s="26" t="str">
        <x:v>Różnica / koszt modelu własnego</x:v>
      </x:c>
      <x:c r="B9" s="27" t="n">
        <x:f>IF(COUNT(B6,B8)=2,IF(B6=0,"n.a.",B8/B6),"brak danych")</x:f>
        <x:v>0.3490636492068112</x:v>
      </x:c>
      <x:c r="C9" s="2"/>
      <x:c r="D9" s="28" t="str">
        <x:v>Miesiące liczone od rozpoczęcia obsługi; indeksacja po 12 i 24 miesiącach.</x:v>
      </x:c>
      <x:c r="E9" s="28"/>
      <x:c r="F9" s="28"/>
      <x:c r="G9" s="28"/>
      <x:c r="H9" s="28"/>
      <x:c r="I9" s="28"/>
      <x:c r="J9" s="28"/>
    </x:row>
    <x:row r="10" ht="25" customHeight="1">
      <x:c r="A10" s="2" t="str">
        <x:v>Różnica w pierwszych 12 miesiącach</x:v>
      </x:c>
      <x:c r="B10" s="16" t="n">
        <x:f>IF(COUNT(I16:I27)=12,SUM(I16:I27),"brak danych")</x:f>
        <x:v>96000</x:v>
      </x:c>
      <x:c r="C10" s="2"/>
      <x:c r="D10" s="28" t="str">
        <x:v>Żółte pola: dane do zmiany. Wybór wariantu 1 / 2 / 3 w B14.</x:v>
      </x:c>
      <x:c r="E10" s="28"/>
      <x:c r="F10" s="28"/>
      <x:c r="G10" s="28"/>
      <x:c r="H10" s="28"/>
      <x:c r="I10" s="28"/>
      <x:c r="J10" s="28"/>
    </x:row>
    <x:row r="11" ht="25" customHeight="1">
      <x:c r="A11" s="2" t="str">
        <x:v>Różnica bez kosztu przejęcia / miesiąc 1</x:v>
      </x:c>
      <x:c r="B11" s="16" t="n">
        <x:f>IF(COUNT(F16:G16)=2,F16-G16,"brak danych")</x:f>
        <x:v>9000</x:v>
      </x:c>
      <x:c r="C11" s="2"/>
      <x:c r="D11" s="28" t="str">
        <x:v>Nie utożsamiaj odzyskanego czasu z oszczędnością wydatków.</x:v>
      </x:c>
      <x:c r="E11" s="28"/>
      <x:c r="F11" s="28"/>
      <x:c r="G11" s="28"/>
      <x:c r="H11" s="28"/>
      <x:c r="I11" s="28"/>
      <x:c r="J11" s="28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 t="str">
        <x:v>Wybór: 1 pełny / 2 mieszany / 3 cały zespół</x:v>
      </x:c>
      <x:c r="B14" s="30" t="n">
        <x:v>1</x:v>
      </x:c>
      <x:c r="C14" s="2"/>
      <x:c r="D14" s="2"/>
      <x:c r="E14" s="2"/>
      <x:c r="F14" s="2"/>
      <x:c r="G14" s="2"/>
      <x:c r="H14" s="2"/>
      <x:c r="I14" s="2"/>
      <x:c r="J14" s="2"/>
    </x:row>
    <x:row r="15" ht="34" customHeight="1">
      <x:c r="A15" s="2"/>
      <x:c r="B15" s="2"/>
      <x:c r="C15" s="2"/>
      <x:c r="D15" s="14" t="str">
        <x:v>Miesiąc</x:v>
      </x:c>
      <x:c r="E15" s="35" t="str">
        <x:v>Rok</x:v>
      </x:c>
      <x:c r="F15" s="35" t="str">
        <x:v>Koszt własny</x:v>
      </x:c>
      <x:c r="G15" s="35" t="str">
        <x:v>Koszt zewnętrzny</x:v>
      </x:c>
      <x:c r="H15" s="35" t="str">
        <x:v>Przejęcie</x:v>
      </x:c>
      <x:c r="I15" s="35" t="str">
        <x:v>Różnica</x:v>
      </x:c>
      <x:c r="J15" s="15" t="str">
        <x:v>Różnica narast.</x:v>
      </x:c>
    </x:row>
    <x:row r="16" ht="25" customHeight="1">
      <x:c r="A16" s="2" t="str">
        <x:v>Koszt własny / miesiąc</x:v>
      </x:c>
      <x:c r="B16" s="31" t="n">
        <x:v>24000</x:v>
      </x:c>
      <x:c r="C16" s="2"/>
      <x:c r="D16" s="36" t="n">
        <x:f>1</x:f>
        <x:v>1</x:v>
      </x:c>
      <x:c r="E16" s="36" t="n">
        <x:f>INT((D16-1)/12)+1</x:f>
        <x:v>1</x:v>
      </x:c>
      <x:c r="F16" s="37" t="n">
        <x:f>IF(COUNT($B$16,$B$19)=2,$B$16*(1+$B$19)^(E16-1),"brak danych")</x:f>
        <x:v>24000</x:v>
      </x:c>
      <x:c r="G16" s="37" t="n">
        <x:f>IF(COUNT($B$23,$B$29,$B$17,$B$20)=4,($B$23+$B$29+$B$17)*(1+$B$20)^(E16-1),"brak danych")</x:f>
        <x:v>15000</x:v>
      </x:c>
      <x:c r="H16" s="37" t="n">
        <x:f>IF(COUNT($B$18)=1,IF(D16=1,$B$18,0),"brak danych")</x:f>
        <x:v>12000</x:v>
      </x:c>
      <x:c r="I16" s="37" t="n">
        <x:f>IF(COUNT(F16:H16)=3,F16-G16-H16,"brak danych")</x:f>
        <x:v>-3000</x:v>
      </x:c>
      <x:c r="J16" s="37" t="n">
        <x:f>IF(COUNT($I$16:I16)=D16,SUM($I$16:I16),"brak danych")</x:f>
        <x:v>-3000</x:v>
      </x:c>
    </x:row>
    <x:row r="17" ht="25" customHeight="1">
      <x:c r="A17" s="2" t="str">
        <x:v>Pozostałe koszty zewnętrzne / miesiąc</x:v>
      </x:c>
      <x:c r="B17" s="31" t="n">
        <x:v>4000</x:v>
      </x:c>
      <x:c r="C17" s="2"/>
      <x:c r="D17" s="36" t="n">
        <x:f>2</x:f>
        <x:v>2</x:v>
      </x:c>
      <x:c r="E17" s="36" t="n">
        <x:f>INT((D17-1)/12)+1</x:f>
        <x:v>1</x:v>
      </x:c>
      <x:c r="F17" s="37" t="n">
        <x:f>IF(COUNT($B$16,$B$19)=2,$B$16*(1+$B$19)^(E17-1),"brak danych")</x:f>
        <x:v>24000</x:v>
      </x:c>
      <x:c r="G17" s="37" t="n">
        <x:f>IF(COUNT($B$23,$B$29,$B$17,$B$20)=4,($B$23+$B$29+$B$17)*(1+$B$20)^(E17-1),"brak danych")</x:f>
        <x:v>15000</x:v>
      </x:c>
      <x:c r="H17" s="37" t="n">
        <x:f>IF(COUNT($B$18)=1,IF(D17=1,$B$18,0),"brak danych")</x:f>
        <x:v>0</x:v>
      </x:c>
      <x:c r="I17" s="37" t="n">
        <x:f>IF(COUNT(F17:H17)=3,F17-G17-H17,"brak danych")</x:f>
        <x:v>9000</x:v>
      </x:c>
      <x:c r="J17" s="37" t="n">
        <x:f>IF(COUNT($I$16:I17)=D17,SUM($I$16:I17),"brak danych")</x:f>
        <x:v>6000</x:v>
      </x:c>
    </x:row>
    <x:row r="18" ht="25" customHeight="1">
      <x:c r="A18" s="2" t="str">
        <x:v>Przejęcie / jednorazowo</x:v>
      </x:c>
      <x:c r="B18" s="31" t="n">
        <x:v>12000</x:v>
      </x:c>
      <x:c r="C18" s="2"/>
      <x:c r="D18" s="36" t="n">
        <x:f>3</x:f>
        <x:v>3</x:v>
      </x:c>
      <x:c r="E18" s="36" t="n">
        <x:f>INT((D18-1)/12)+1</x:f>
        <x:v>1</x:v>
      </x:c>
      <x:c r="F18" s="37" t="n">
        <x:f>IF(COUNT($B$16,$B$19)=2,$B$16*(1+$B$19)^(E18-1),"brak danych")</x:f>
        <x:v>24000</x:v>
      </x:c>
      <x:c r="G18" s="37" t="n">
        <x:f>IF(COUNT($B$23,$B$29,$B$17,$B$20)=4,($B$23+$B$29+$B$17)*(1+$B$20)^(E18-1),"brak danych")</x:f>
        <x:v>15000</x:v>
      </x:c>
      <x:c r="H18" s="37" t="n">
        <x:f>IF(COUNT($B$18)=1,IF(D18=1,$B$18,0),"brak danych")</x:f>
        <x:v>0</x:v>
      </x:c>
      <x:c r="I18" s="37" t="n">
        <x:f>IF(COUNT(F18:H18)=3,F18-G18-H18,"brak danych")</x:f>
        <x:v>9000</x:v>
      </x:c>
      <x:c r="J18" s="37" t="n">
        <x:f>IF(COUNT($I$16:I18)=D18,SUM($I$16:I18),"brak danych")</x:f>
        <x:v>15000</x:v>
      </x:c>
    </x:row>
    <x:row r="19" ht="25" customHeight="1">
      <x:c r="A19" s="2" t="str">
        <x:v>Indeksacja własna / rok</x:v>
      </x:c>
      <x:c r="B19" s="32" t="n">
        <x:v>0.03</x:v>
      </x:c>
      <x:c r="C19" s="2"/>
      <x:c r="D19" s="36" t="n">
        <x:f>4</x:f>
        <x:v>4</x:v>
      </x:c>
      <x:c r="E19" s="36" t="n">
        <x:f>INT((D19-1)/12)+1</x:f>
        <x:v>1</x:v>
      </x:c>
      <x:c r="F19" s="37" t="n">
        <x:f>IF(COUNT($B$16,$B$19)=2,$B$16*(1+$B$19)^(E19-1),"brak danych")</x:f>
        <x:v>24000</x:v>
      </x:c>
      <x:c r="G19" s="37" t="n">
        <x:f>IF(COUNT($B$23,$B$29,$B$17,$B$20)=4,($B$23+$B$29+$B$17)*(1+$B$20)^(E19-1),"brak danych")</x:f>
        <x:v>15000</x:v>
      </x:c>
      <x:c r="H19" s="37" t="n">
        <x:f>IF(COUNT($B$18)=1,IF(D19=1,$B$18,0),"brak danych")</x:f>
        <x:v>0</x:v>
      </x:c>
      <x:c r="I19" s="37" t="n">
        <x:f>IF(COUNT(F19:H19)=3,F19-G19-H19,"brak danych")</x:f>
        <x:v>9000</x:v>
      </x:c>
      <x:c r="J19" s="37" t="n">
        <x:f>IF(COUNT($I$16:I19)=D19,SUM($I$16:I19),"brak danych")</x:f>
        <x:v>24000</x:v>
      </x:c>
    </x:row>
    <x:row r="20" ht="25" customHeight="1">
      <x:c r="A20" s="2" t="str">
        <x:v>Indeksacja zewnętrzna / rok</x:v>
      </x:c>
      <x:c r="B20" s="32" t="n">
        <x:v>0.05</x:v>
      </x:c>
      <x:c r="C20" s="2"/>
      <x:c r="D20" s="36" t="n">
        <x:f>5</x:f>
        <x:v>5</x:v>
      </x:c>
      <x:c r="E20" s="36" t="n">
        <x:f>INT((D20-1)/12)+1</x:f>
        <x:v>1</x:v>
      </x:c>
      <x:c r="F20" s="37" t="n">
        <x:f>IF(COUNT($B$16,$B$19)=2,$B$16*(1+$B$19)^(E20-1),"brak danych")</x:f>
        <x:v>24000</x:v>
      </x:c>
      <x:c r="G20" s="37" t="n">
        <x:f>IF(COUNT($B$23,$B$29,$B$17,$B$20)=4,($B$23+$B$29+$B$17)*(1+$B$20)^(E20-1),"brak danych")</x:f>
        <x:v>15000</x:v>
      </x:c>
      <x:c r="H20" s="37" t="n">
        <x:f>IF(COUNT($B$18)=1,IF(D20=1,$B$18,0),"brak danych")</x:f>
        <x:v>0</x:v>
      </x:c>
      <x:c r="I20" s="37" t="n">
        <x:f>IF(COUNT(F20:H20)=3,F20-G20-H20,"brak danych")</x:f>
        <x:v>9000</x:v>
      </x:c>
      <x:c r="J20" s="37" t="n">
        <x:f>IF(COUNT($I$16:I20)=D20,SUM($I$16:I20),"brak danych")</x:f>
        <x:v>33000</x:v>
      </x:c>
    </x:row>
    <x:row r="21" ht="25" customHeight="1">
      <x:c r="A21" s="2"/>
      <x:c r="B21" s="2"/>
      <x:c r="C21" s="2"/>
      <x:c r="D21" s="36" t="n">
        <x:f>6</x:f>
        <x:v>6</x:v>
      </x:c>
      <x:c r="E21" s="36" t="n">
        <x:f>INT((D21-1)/12)+1</x:f>
        <x:v>1</x:v>
      </x:c>
      <x:c r="F21" s="37" t="n">
        <x:f>IF(COUNT($B$16,$B$19)=2,$B$16*(1+$B$19)^(E21-1),"brak danych")</x:f>
        <x:v>24000</x:v>
      </x:c>
      <x:c r="G21" s="37" t="n">
        <x:f>IF(COUNT($B$23,$B$29,$B$17,$B$20)=4,($B$23+$B$29+$B$17)*(1+$B$20)^(E21-1),"brak danych")</x:f>
        <x:v>15000</x:v>
      </x:c>
      <x:c r="H21" s="37" t="n">
        <x:f>IF(COUNT($B$18)=1,IF(D21=1,$B$18,0),"brak danych")</x:f>
        <x:v>0</x:v>
      </x:c>
      <x:c r="I21" s="37" t="n">
        <x:f>IF(COUNT(F21:H21)=3,F21-G21-H21,"brak danych")</x:f>
        <x:v>9000</x:v>
      </x:c>
      <x:c r="J21" s="37" t="n">
        <x:f>IF(COUNT($I$16:I21)=D21,SUM($I$16:I21),"brak danych")</x:f>
        <x:v>42000</x:v>
      </x:c>
    </x:row>
    <x:row r="22" ht="25" customHeight="1">
      <x:c r="A22" s="2"/>
      <x:c r="B22" s="2"/>
      <x:c r="C22" s="2"/>
      <x:c r="D22" s="36" t="n">
        <x:f>7</x:f>
        <x:v>7</x:v>
      </x:c>
      <x:c r="E22" s="36" t="n">
        <x:f>INT((D22-1)/12)+1</x:f>
        <x:v>1</x:v>
      </x:c>
      <x:c r="F22" s="37" t="n">
        <x:f>IF(COUNT($B$16,$B$19)=2,$B$16*(1+$B$19)^(E22-1),"brak danych")</x:f>
        <x:v>24000</x:v>
      </x:c>
      <x:c r="G22" s="37" t="n">
        <x:f>IF(COUNT($B$23,$B$29,$B$17,$B$20)=4,($B$23+$B$29+$B$17)*(1+$B$20)^(E22-1),"brak danych")</x:f>
        <x:v>15000</x:v>
      </x:c>
      <x:c r="H22" s="37" t="n">
        <x:f>IF(COUNT($B$18)=1,IF(D22=1,$B$18,0),"brak danych")</x:f>
        <x:v>0</x:v>
      </x:c>
      <x:c r="I22" s="37" t="n">
        <x:f>IF(COUNT(F22:H22)=3,F22-G22-H22,"brak danych")</x:f>
        <x:v>9000</x:v>
      </x:c>
      <x:c r="J22" s="37" t="n">
        <x:f>IF(COUNT($I$16:I22)=D22,SUM($I$16:I22),"brak danych")</x:f>
        <x:v>51000</x:v>
      </x:c>
    </x:row>
    <x:row r="23" ht="25" customHeight="1">
      <x:c r="A23" s="24" t="str">
        <x:v>Aktywny abonament / miesiąc</x:v>
      </x:c>
      <x:c r="B23" s="25" t="n">
        <x:f>IF(CHOOSE($B$14,COUNT(B24),COUNT(B25),COUNT(B26))=1,CHOOSE($B$14,B24,B25,B26),"brak danych")</x:f>
        <x:v>11000</x:v>
      </x:c>
      <x:c r="C23" s="2"/>
      <x:c r="D23" s="36" t="n">
        <x:f>8</x:f>
        <x:v>8</x:v>
      </x:c>
      <x:c r="E23" s="36" t="n">
        <x:f>INT((D23-1)/12)+1</x:f>
        <x:v>1</x:v>
      </x:c>
      <x:c r="F23" s="37" t="n">
        <x:f>IF(COUNT($B$16,$B$19)=2,$B$16*(1+$B$19)^(E23-1),"brak danych")</x:f>
        <x:v>24000</x:v>
      </x:c>
      <x:c r="G23" s="37" t="n">
        <x:f>IF(COUNT($B$23,$B$29,$B$17,$B$20)=4,($B$23+$B$29+$B$17)*(1+$B$20)^(E23-1),"brak danych")</x:f>
        <x:v>15000</x:v>
      </x:c>
      <x:c r="H23" s="37" t="n">
        <x:f>IF(COUNT($B$18)=1,IF(D23=1,$B$18,0),"brak danych")</x:f>
        <x:v>0</x:v>
      </x:c>
      <x:c r="I23" s="37" t="n">
        <x:f>IF(COUNT(F23:H23)=3,F23-G23-H23,"brak danych")</x:f>
        <x:v>9000</x:v>
      </x:c>
      <x:c r="J23" s="37" t="n">
        <x:f>IF(COUNT($I$16:I23)=D23,SUM($I$16:I23),"brak danych")</x:f>
        <x:v>60000</x:v>
      </x:c>
    </x:row>
    <x:row r="24" ht="25" customHeight="1">
      <x:c r="A24" s="2" t="str">
        <x:v>  1. Pełne przejęcie</x:v>
      </x:c>
      <x:c r="B24" s="31" t="n">
        <x:v>11000</x:v>
      </x:c>
      <x:c r="C24" s="2"/>
      <x:c r="D24" s="36" t="n">
        <x:f>9</x:f>
        <x:v>9</x:v>
      </x:c>
      <x:c r="E24" s="36" t="n">
        <x:f>INT((D24-1)/12)+1</x:f>
        <x:v>1</x:v>
      </x:c>
      <x:c r="F24" s="37" t="n">
        <x:f>IF(COUNT($B$16,$B$19)=2,$B$16*(1+$B$19)^(E24-1),"brak danych")</x:f>
        <x:v>24000</x:v>
      </x:c>
      <x:c r="G24" s="37" t="n">
        <x:f>IF(COUNT($B$23,$B$29,$B$17,$B$20)=4,($B$23+$B$29+$B$17)*(1+$B$20)^(E24-1),"brak danych")</x:f>
        <x:v>15000</x:v>
      </x:c>
      <x:c r="H24" s="37" t="n">
        <x:f>IF(COUNT($B$18)=1,IF(D24=1,$B$18,0),"brak danych")</x:f>
        <x:v>0</x:v>
      </x:c>
      <x:c r="I24" s="37" t="n">
        <x:f>IF(COUNT(F24:H24)=3,F24-G24-H24,"brak danych")</x:f>
        <x:v>9000</x:v>
      </x:c>
      <x:c r="J24" s="37" t="n">
        <x:f>IF(COUNT($I$16:I24)=D24,SUM($I$16:I24),"brak danych")</x:f>
        <x:v>69000</x:v>
      </x:c>
    </x:row>
    <x:row r="25" ht="25" customHeight="1">
      <x:c r="A25" s="2" t="str">
        <x:v>  2. Model mieszany</x:v>
      </x:c>
      <x:c r="B25" s="31" t="n">
        <x:v>8000</x:v>
      </x:c>
      <x:c r="C25" s="2"/>
      <x:c r="D25" s="36" t="n">
        <x:f>10</x:f>
        <x:v>10</x:v>
      </x:c>
      <x:c r="E25" s="36" t="n">
        <x:f>INT((D25-1)/12)+1</x:f>
        <x:v>1</x:v>
      </x:c>
      <x:c r="F25" s="37" t="n">
        <x:f>IF(COUNT($B$16,$B$19)=2,$B$16*(1+$B$19)^(E25-1),"brak danych")</x:f>
        <x:v>24000</x:v>
      </x:c>
      <x:c r="G25" s="37" t="n">
        <x:f>IF(COUNT($B$23,$B$29,$B$17,$B$20)=4,($B$23+$B$29+$B$17)*(1+$B$20)^(E25-1),"brak danych")</x:f>
        <x:v>15000</x:v>
      </x:c>
      <x:c r="H25" s="37" t="n">
        <x:f>IF(COUNT($B$18)=1,IF(D25=1,$B$18,0),"brak danych")</x:f>
        <x:v>0</x:v>
      </x:c>
      <x:c r="I25" s="37" t="n">
        <x:f>IF(COUNT(F25:H25)=3,F25-G25-H25,"brak danych")</x:f>
        <x:v>9000</x:v>
      </x:c>
      <x:c r="J25" s="37" t="n">
        <x:f>IF(COUNT($I$16:I25)=D25,SUM($I$16:I25),"brak danych")</x:f>
        <x:v>78000</x:v>
      </x:c>
    </x:row>
    <x:row r="26" ht="25" customHeight="1">
      <x:c r="A26" s="2" t="str">
        <x:v>  3. Cały zespół zostaje</x:v>
      </x:c>
      <x:c r="B26" s="31" t="n">
        <x:v>11000</x:v>
      </x:c>
      <x:c r="C26" s="2"/>
      <x:c r="D26" s="36" t="n">
        <x:f>11</x:f>
        <x:v>11</x:v>
      </x:c>
      <x:c r="E26" s="36" t="n">
        <x:f>INT((D26-1)/12)+1</x:f>
        <x:v>1</x:v>
      </x:c>
      <x:c r="F26" s="37" t="n">
        <x:f>IF(COUNT($B$16,$B$19)=2,$B$16*(1+$B$19)^(E26-1),"brak danych")</x:f>
        <x:v>24000</x:v>
      </x:c>
      <x:c r="G26" s="37" t="n">
        <x:f>IF(COUNT($B$23,$B$29,$B$17,$B$20)=4,($B$23+$B$29+$B$17)*(1+$B$20)^(E26-1),"brak danych")</x:f>
        <x:v>15000</x:v>
      </x:c>
      <x:c r="H26" s="37" t="n">
        <x:f>IF(COUNT($B$18)=1,IF(D26=1,$B$18,0),"brak danych")</x:f>
        <x:v>0</x:v>
      </x:c>
      <x:c r="I26" s="37" t="n">
        <x:f>IF(COUNT(F26:H26)=3,F26-G26-H26,"brak danych")</x:f>
        <x:v>9000</x:v>
      </x:c>
      <x:c r="J26" s="37" t="n">
        <x:f>IF(COUNT($I$16:I26)=D26,SUM($I$16:I26),"brak danych")</x:f>
        <x:v>87000</x:v>
      </x:c>
    </x:row>
    <x:row r="27" ht="25" customHeight="1">
      <x:c r="A27" s="2"/>
      <x:c r="B27" s="16"/>
      <x:c r="C27" s="2"/>
      <x:c r="D27" s="38" t="n">
        <x:f>12</x:f>
        <x:v>12</x:v>
      </x:c>
      <x:c r="E27" s="38" t="n">
        <x:f>INT((D27-1)/12)+1</x:f>
        <x:v>1</x:v>
      </x:c>
      <x:c r="F27" s="39" t="n">
        <x:f>IF(COUNT($B$16,$B$19)=2,$B$16*(1+$B$19)^(E27-1),"brak danych")</x:f>
        <x:v>24000</x:v>
      </x:c>
      <x:c r="G27" s="39" t="n">
        <x:f>IF(COUNT($B$23,$B$29,$B$17,$B$20)=4,($B$23+$B$29+$B$17)*(1+$B$20)^(E27-1),"brak danych")</x:f>
        <x:v>15000</x:v>
      </x:c>
      <x:c r="H27" s="39" t="n">
        <x:f>IF(COUNT($B$18)=1,IF(D27=1,$B$18,0),"brak danych")</x:f>
        <x:v>0</x:v>
      </x:c>
      <x:c r="I27" s="39" t="n">
        <x:f>IF(COUNT(F27:H27)=3,F27-G27-H27,"brak danych")</x:f>
        <x:v>9000</x:v>
      </x:c>
      <x:c r="J27" s="39" t="n">
        <x:f>IF(COUNT($I$16:I27)=D27,SUM($I$16:I27),"brak danych")</x:f>
        <x:v>96000</x:v>
      </x:c>
    </x:row>
    <x:row r="28" ht="25" customHeight="1">
      <x:c r="A28" s="2"/>
      <x:c r="B28" s="16"/>
      <x:c r="C28" s="2"/>
      <x:c r="D28" s="36" t="n">
        <x:f>13</x:f>
        <x:v>13</x:v>
      </x:c>
      <x:c r="E28" s="36" t="n">
        <x:f>INT((D28-1)/12)+1</x:f>
        <x:v>2</x:v>
      </x:c>
      <x:c r="F28" s="37" t="n">
        <x:f>IF(COUNT($B$16,$B$19)=2,$B$16*(1+$B$19)^(E28-1),"brak danych")</x:f>
        <x:v>24720</x:v>
      </x:c>
      <x:c r="G28" s="37" t="n">
        <x:f>IF(COUNT($B$23,$B$29,$B$17,$B$20)=4,($B$23+$B$29+$B$17)*(1+$B$20)^(E28-1),"brak danych")</x:f>
        <x:v>15750</x:v>
      </x:c>
      <x:c r="H28" s="37" t="n">
        <x:f>IF(COUNT($B$18)=1,IF(D28=1,$B$18,0),"brak danych")</x:f>
        <x:v>0</x:v>
      </x:c>
      <x:c r="I28" s="37" t="n">
        <x:f>IF(COUNT(F28:H28)=3,F28-G28-H28,"brak danych")</x:f>
        <x:v>8970</x:v>
      </x:c>
      <x:c r="J28" s="37" t="n">
        <x:f>IF(COUNT($I$16:I28)=D28,SUM($I$16:I28),"brak danych")</x:f>
        <x:v>104970</x:v>
      </x:c>
    </x:row>
    <x:row r="29" ht="25" customHeight="1">
      <x:c r="A29" s="24" t="str">
        <x:v>Aktywny koszt pozostającego personelu</x:v>
      </x:c>
      <x:c r="B29" s="25" t="n">
        <x:f>IF(CHOOSE($B$14,COUNT(B30),COUNT(B31),COUNT(B32))=1,CHOOSE($B$14,B30,B31,B32),"brak danych")</x:f>
        <x:v>0</x:v>
      </x:c>
      <x:c r="C29" s="2"/>
      <x:c r="D29" s="36" t="n">
        <x:f>14</x:f>
        <x:v>14</x:v>
      </x:c>
      <x:c r="E29" s="36" t="n">
        <x:f>INT((D29-1)/12)+1</x:f>
        <x:v>2</x:v>
      </x:c>
      <x:c r="F29" s="37" t="n">
        <x:f>IF(COUNT($B$16,$B$19)=2,$B$16*(1+$B$19)^(E29-1),"brak danych")</x:f>
        <x:v>24720</x:v>
      </x:c>
      <x:c r="G29" s="37" t="n">
        <x:f>IF(COUNT($B$23,$B$29,$B$17,$B$20)=4,($B$23+$B$29+$B$17)*(1+$B$20)^(E29-1),"brak danych")</x:f>
        <x:v>15750</x:v>
      </x:c>
      <x:c r="H29" s="37" t="n">
        <x:f>IF(COUNT($B$18)=1,IF(D29=1,$B$18,0),"brak danych")</x:f>
        <x:v>0</x:v>
      </x:c>
      <x:c r="I29" s="37" t="n">
        <x:f>IF(COUNT(F29:H29)=3,F29-G29-H29,"brak danych")</x:f>
        <x:v>8970</x:v>
      </x:c>
      <x:c r="J29" s="37" t="n">
        <x:f>IF(COUNT($I$16:I29)=D29,SUM($I$16:I29),"brak danych")</x:f>
        <x:v>113940</x:v>
      </x:c>
    </x:row>
    <x:row r="30" ht="25" customHeight="1">
      <x:c r="A30" s="2" t="str">
        <x:v>  1. Pełne przejęcie</x:v>
      </x:c>
      <x:c r="B30" s="31" t="n">
        <x:v>0</x:v>
      </x:c>
      <x:c r="C30" s="2"/>
      <x:c r="D30" s="36" t="n">
        <x:f>15</x:f>
        <x:v>15</x:v>
      </x:c>
      <x:c r="E30" s="36" t="n">
        <x:f>INT((D30-1)/12)+1</x:f>
        <x:v>2</x:v>
      </x:c>
      <x:c r="F30" s="37" t="n">
        <x:f>IF(COUNT($B$16,$B$19)=2,$B$16*(1+$B$19)^(E30-1),"brak danych")</x:f>
        <x:v>24720</x:v>
      </x:c>
      <x:c r="G30" s="37" t="n">
        <x:f>IF(COUNT($B$23,$B$29,$B$17,$B$20)=4,($B$23+$B$29+$B$17)*(1+$B$20)^(E30-1),"brak danych")</x:f>
        <x:v>15750</x:v>
      </x:c>
      <x:c r="H30" s="37" t="n">
        <x:f>IF(COUNT($B$18)=1,IF(D30=1,$B$18,0),"brak danych")</x:f>
        <x:v>0</x:v>
      </x:c>
      <x:c r="I30" s="37" t="n">
        <x:f>IF(COUNT(F30:H30)=3,F30-G30-H30,"brak danych")</x:f>
        <x:v>8970</x:v>
      </x:c>
      <x:c r="J30" s="37" t="n">
        <x:f>IF(COUNT($I$16:I30)=D30,SUM($I$16:I30),"brak danych")</x:f>
        <x:v>122910</x:v>
      </x:c>
    </x:row>
    <x:row r="31" ht="25" customHeight="1">
      <x:c r="A31" s="2" t="str">
        <x:v>  2. Model mieszany</x:v>
      </x:c>
      <x:c r="B31" s="31" t="n">
        <x:v>8500</x:v>
      </x:c>
      <x:c r="C31" s="2"/>
      <x:c r="D31" s="36" t="n">
        <x:f>16</x:f>
        <x:v>16</x:v>
      </x:c>
      <x:c r="E31" s="36" t="n">
        <x:f>INT((D31-1)/12)+1</x:f>
        <x:v>2</x:v>
      </x:c>
      <x:c r="F31" s="37" t="n">
        <x:f>IF(COUNT($B$16,$B$19)=2,$B$16*(1+$B$19)^(E31-1),"brak danych")</x:f>
        <x:v>24720</x:v>
      </x:c>
      <x:c r="G31" s="37" t="n">
        <x:f>IF(COUNT($B$23,$B$29,$B$17,$B$20)=4,($B$23+$B$29+$B$17)*(1+$B$20)^(E31-1),"brak danych")</x:f>
        <x:v>15750</x:v>
      </x:c>
      <x:c r="H31" s="37" t="n">
        <x:f>IF(COUNT($B$18)=1,IF(D31=1,$B$18,0),"brak danych")</x:f>
        <x:v>0</x:v>
      </x:c>
      <x:c r="I31" s="37" t="n">
        <x:f>IF(COUNT(F31:H31)=3,F31-G31-H31,"brak danych")</x:f>
        <x:v>8970</x:v>
      </x:c>
      <x:c r="J31" s="37" t="n">
        <x:f>IF(COUNT($I$16:I31)=D31,SUM($I$16:I31),"brak danych")</x:f>
        <x:v>131880</x:v>
      </x:c>
    </x:row>
    <x:row r="32" ht="25" customHeight="1">
      <x:c r="A32" s="2" t="str">
        <x:v>  3. Cały zespół zostaje</x:v>
      </x:c>
      <x:c r="B32" s="31" t="n">
        <x:v>17000</x:v>
      </x:c>
      <x:c r="C32" s="2"/>
      <x:c r="D32" s="36" t="n">
        <x:f>17</x:f>
        <x:v>17</x:v>
      </x:c>
      <x:c r="E32" s="36" t="n">
        <x:f>INT((D32-1)/12)+1</x:f>
        <x:v>2</x:v>
      </x:c>
      <x:c r="F32" s="37" t="n">
        <x:f>IF(COUNT($B$16,$B$19)=2,$B$16*(1+$B$19)^(E32-1),"brak danych")</x:f>
        <x:v>24720</x:v>
      </x:c>
      <x:c r="G32" s="37" t="n">
        <x:f>IF(COUNT($B$23,$B$29,$B$17,$B$20)=4,($B$23+$B$29+$B$17)*(1+$B$20)^(E32-1),"brak danych")</x:f>
        <x:v>15750</x:v>
      </x:c>
      <x:c r="H32" s="37" t="n">
        <x:f>IF(COUNT($B$18)=1,IF(D32=1,$B$18,0),"brak danych")</x:f>
        <x:v>0</x:v>
      </x:c>
      <x:c r="I32" s="37" t="n">
        <x:f>IF(COUNT(F32:H32)=3,F32-G32-H32,"brak danych")</x:f>
        <x:v>8970</x:v>
      </x:c>
      <x:c r="J32" s="37" t="n">
        <x:f>IF(COUNT($I$16:I32)=D32,SUM($I$16:I32),"brak danych")</x:f>
        <x:v>140850</x:v>
      </x:c>
    </x:row>
    <x:row r="33" ht="25" customHeight="1">
      <x:c r="A33" s="2"/>
      <x:c r="B33" s="2"/>
      <x:c r="C33" s="2"/>
      <x:c r="D33" s="36" t="n">
        <x:f>18</x:f>
        <x:v>18</x:v>
      </x:c>
      <x:c r="E33" s="36" t="n">
        <x:f>INT((D33-1)/12)+1</x:f>
        <x:v>2</x:v>
      </x:c>
      <x:c r="F33" s="37" t="n">
        <x:f>IF(COUNT($B$16,$B$19)=2,$B$16*(1+$B$19)^(E33-1),"brak danych")</x:f>
        <x:v>24720</x:v>
      </x:c>
      <x:c r="G33" s="37" t="n">
        <x:f>IF(COUNT($B$23,$B$29,$B$17,$B$20)=4,($B$23+$B$29+$B$17)*(1+$B$20)^(E33-1),"brak danych")</x:f>
        <x:v>15750</x:v>
      </x:c>
      <x:c r="H33" s="37" t="n">
        <x:f>IF(COUNT($B$18)=1,IF(D33=1,$B$18,0),"brak danych")</x:f>
        <x:v>0</x:v>
      </x:c>
      <x:c r="I33" s="37" t="n">
        <x:f>IF(COUNT(F33:H33)=3,F33-G33-H33,"brak danych")</x:f>
        <x:v>8970</x:v>
      </x:c>
      <x:c r="J33" s="37" t="n">
        <x:f>IF(COUNT($I$16:I33)=D33,SUM($I$16:I33),"brak danych")</x:f>
        <x:v>149820</x:v>
      </x:c>
    </x:row>
    <x:row r="34" ht="25" customHeight="1">
      <x:c r="A34" s="2"/>
      <x:c r="B34" s="2"/>
      <x:c r="C34" s="2"/>
      <x:c r="D34" s="36" t="n">
        <x:f>19</x:f>
        <x:v>19</x:v>
      </x:c>
      <x:c r="E34" s="36" t="n">
        <x:f>INT((D34-1)/12)+1</x:f>
        <x:v>2</x:v>
      </x:c>
      <x:c r="F34" s="37" t="n">
        <x:f>IF(COUNT($B$16,$B$19)=2,$B$16*(1+$B$19)^(E34-1),"brak danych")</x:f>
        <x:v>24720</x:v>
      </x:c>
      <x:c r="G34" s="37" t="n">
        <x:f>IF(COUNT($B$23,$B$29,$B$17,$B$20)=4,($B$23+$B$29+$B$17)*(1+$B$20)^(E34-1),"brak danych")</x:f>
        <x:v>15750</x:v>
      </x:c>
      <x:c r="H34" s="37" t="n">
        <x:f>IF(COUNT($B$18)=1,IF(D34=1,$B$18,0),"brak danych")</x:f>
        <x:v>0</x:v>
      </x:c>
      <x:c r="I34" s="37" t="n">
        <x:f>IF(COUNT(F34:H34)=3,F34-G34-H34,"brak danych")</x:f>
        <x:v>8970</x:v>
      </x:c>
      <x:c r="J34" s="37" t="n">
        <x:f>IF(COUNT($I$16:I34)=D34,SUM($I$16:I34),"brak danych")</x:f>
        <x:v>158790</x:v>
      </x:c>
    </x:row>
    <x:row r="35" ht="25" customHeight="1">
      <x:c r="A35" s="40" t="str">
        <x:v>Założenia i sposób interpretacji</x:v>
      </x:c>
      <x:c r="B35" s="2"/>
      <x:c r="C35" s="2"/>
      <x:c r="D35" s="36" t="n">
        <x:f>20</x:f>
        <x:v>20</x:v>
      </x:c>
      <x:c r="E35" s="36" t="n">
        <x:f>INT((D35-1)/12)+1</x:f>
        <x:v>2</x:v>
      </x:c>
      <x:c r="F35" s="37" t="n">
        <x:f>IF(COUNT($B$16,$B$19)=2,$B$16*(1+$B$19)^(E35-1),"brak danych")</x:f>
        <x:v>24720</x:v>
      </x:c>
      <x:c r="G35" s="37" t="n">
        <x:f>IF(COUNT($B$23,$B$29,$B$17,$B$20)=4,($B$23+$B$29+$B$17)*(1+$B$20)^(E35-1),"brak danych")</x:f>
        <x:v>15750</x:v>
      </x:c>
      <x:c r="H35" s="37" t="n">
        <x:f>IF(COUNT($B$18)=1,IF(D35=1,$B$18,0),"brak danych")</x:f>
        <x:v>0</x:v>
      </x:c>
      <x:c r="I35" s="37" t="n">
        <x:f>IF(COUNT(F35:H35)=3,F35-G35-H35,"brak danych")</x:f>
        <x:v>8970</x:v>
      </x:c>
      <x:c r="J35" s="37" t="n">
        <x:f>IF(COUNT($I$16:I35)=D35,SUM($I$16:I35),"brak danych")</x:f>
        <x:v>167760</x:v>
      </x:c>
    </x:row>
    <x:row r="36" ht="25" customHeight="1">
      <x:c r="A36" s="28" t="str">
        <x:v>Opracowanie 24.10.2026; kwoty są założeniami,</x:v>
      </x:c>
      <x:c r="B36" s="28"/>
      <x:c r="C36" s="2"/>
      <x:c r="D36" s="36" t="n">
        <x:f>21</x:f>
        <x:v>21</x:v>
      </x:c>
      <x:c r="E36" s="36" t="n">
        <x:f>INT((D36-1)/12)+1</x:f>
        <x:v>2</x:v>
      </x:c>
      <x:c r="F36" s="37" t="n">
        <x:f>IF(COUNT($B$16,$B$19)=2,$B$16*(1+$B$19)^(E36-1),"brak danych")</x:f>
        <x:v>24720</x:v>
      </x:c>
      <x:c r="G36" s="37" t="n">
        <x:f>IF(COUNT($B$23,$B$29,$B$17,$B$20)=4,($B$23+$B$29+$B$17)*(1+$B$20)^(E36-1),"brak danych")</x:f>
        <x:v>15750</x:v>
      </x:c>
      <x:c r="H36" s="37" t="n">
        <x:f>IF(COUNT($B$18)=1,IF(D36=1,$B$18,0),"brak danych")</x:f>
        <x:v>0</x:v>
      </x:c>
      <x:c r="I36" s="37" t="n">
        <x:f>IF(COUNT(F36:H36)=3,F36-G36-H36,"brak danych")</x:f>
        <x:v>8970</x:v>
      </x:c>
      <x:c r="J36" s="37" t="n">
        <x:f>IF(COUNT($I$16:I36)=D36,SUM($I$16:I36),"brak danych")</x:f>
        <x:v>176730</x:v>
      </x:c>
    </x:row>
    <x:row r="37" ht="25" customHeight="1">
      <x:c r="A37" s="28" t="str">
        <x:v>nie stawkami rynkowymi ani ofertą dostawcy.</x:v>
      </x:c>
      <x:c r="B37" s="28"/>
      <x:c r="C37" s="2"/>
      <x:c r="D37" s="36" t="n">
        <x:f>22</x:f>
        <x:v>22</x:v>
      </x:c>
      <x:c r="E37" s="36" t="n">
        <x:f>INT((D37-1)/12)+1</x:f>
        <x:v>2</x:v>
      </x:c>
      <x:c r="F37" s="37" t="n">
        <x:f>IF(COUNT($B$16,$B$19)=2,$B$16*(1+$B$19)^(E37-1),"brak danych")</x:f>
        <x:v>24720</x:v>
      </x:c>
      <x:c r="G37" s="37" t="n">
        <x:f>IF(COUNT($B$23,$B$29,$B$17,$B$20)=4,($B$23+$B$29+$B$17)*(1+$B$20)^(E37-1),"brak danych")</x:f>
        <x:v>15750</x:v>
      </x:c>
      <x:c r="H37" s="37" t="n">
        <x:f>IF(COUNT($B$18)=1,IF(D37=1,$B$18,0),"brak danych")</x:f>
        <x:v>0</x:v>
      </x:c>
      <x:c r="I37" s="37" t="n">
        <x:f>IF(COUNT(F37:H37)=3,F37-G37-H37,"brak danych")</x:f>
        <x:v>8970</x:v>
      </x:c>
      <x:c r="J37" s="37" t="n">
        <x:f>IF(COUNT($I$16:I37)=D37,SUM($I$16:I37),"brak danych")</x:f>
        <x:v>185700</x:v>
      </x:c>
    </x:row>
    <x:row r="38" ht="25" customHeight="1">
      <x:c r="A38" s="28" t="str">
        <x:v>Kwoty nominalne; bez dyskontowania i VAT usług.</x:v>
      </x:c>
      <x:c r="B38" s="28"/>
      <x:c r="C38" s="2"/>
      <x:c r="D38" s="36" t="n">
        <x:f>23</x:f>
        <x:v>23</x:v>
      </x:c>
      <x:c r="E38" s="36" t="n">
        <x:f>INT((D38-1)/12)+1</x:f>
        <x:v>2</x:v>
      </x:c>
      <x:c r="F38" s="37" t="n">
        <x:f>IF(COUNT($B$16,$B$19)=2,$B$16*(1+$B$19)^(E38-1),"brak danych")</x:f>
        <x:v>24720</x:v>
      </x:c>
      <x:c r="G38" s="37" t="n">
        <x:f>IF(COUNT($B$23,$B$29,$B$17,$B$20)=4,($B$23+$B$29+$B$17)*(1+$B$20)^(E38-1),"brak danych")</x:f>
        <x:v>15750</x:v>
      </x:c>
      <x:c r="H38" s="37" t="n">
        <x:f>IF(COUNT($B$18)=1,IF(D38=1,$B$18,0),"brak danych")</x:f>
        <x:v>0</x:v>
      </x:c>
      <x:c r="I38" s="37" t="n">
        <x:f>IF(COUNT(F38:H38)=3,F38-G38-H38,"brak danych")</x:f>
        <x:v>8970</x:v>
      </x:c>
      <x:c r="J38" s="37" t="n">
        <x:f>IF(COUNT($I$16:I38)=D38,SUM($I$16:I38),"brak danych")</x:f>
        <x:v>194670</x:v>
      </x:c>
    </x:row>
    <x:row r="39" ht="25" customHeight="1">
      <x:c r="A39" s="28" t="str">
        <x:v>Wspólny sprzęt, licencje, łącza i chmura pominięte.</x:v>
      </x:c>
      <x:c r="B39" s="28"/>
      <x:c r="C39" s="2"/>
      <x:c r="D39" s="38" t="n">
        <x:f>24</x:f>
        <x:v>24</x:v>
      </x:c>
      <x:c r="E39" s="38" t="n">
        <x:f>INT((D39-1)/12)+1</x:f>
        <x:v>2</x:v>
      </x:c>
      <x:c r="F39" s="39" t="n">
        <x:f>IF(COUNT($B$16,$B$19)=2,$B$16*(1+$B$19)^(E39-1),"brak danych")</x:f>
        <x:v>24720</x:v>
      </x:c>
      <x:c r="G39" s="39" t="n">
        <x:f>IF(COUNT($B$23,$B$29,$B$17,$B$20)=4,($B$23+$B$29+$B$17)*(1+$B$20)^(E39-1),"brak danych")</x:f>
        <x:v>15750</x:v>
      </x:c>
      <x:c r="H39" s="39" t="n">
        <x:f>IF(COUNT($B$18)=1,IF(D39=1,$B$18,0),"brak danych")</x:f>
        <x:v>0</x:v>
      </x:c>
      <x:c r="I39" s="39" t="n">
        <x:f>IF(COUNT(F39:H39)=3,F39-G39-H39,"brak danych")</x:f>
        <x:v>8970</x:v>
      </x:c>
      <x:c r="J39" s="39" t="n">
        <x:f>IF(COUNT($I$16:I39)=D39,SUM($I$16:I39),"brak danych")</x:f>
        <x:v>203640</x:v>
      </x:c>
    </x:row>
    <x:row r="40" ht="25" customHeight="1">
      <x:c r="A40" s="28" t="str">
        <x:v>W B17 wpisz różnice kosztów i koszty dodatkowe.</x:v>
      </x:c>
      <x:c r="B40" s="28"/>
      <x:c r="C40" s="2"/>
      <x:c r="D40" s="36" t="n">
        <x:f>25</x:f>
        <x:v>25</x:v>
      </x:c>
      <x:c r="E40" s="36" t="n">
        <x:f>INT((D40-1)/12)+1</x:f>
        <x:v>3</x:v>
      </x:c>
      <x:c r="F40" s="37" t="n">
        <x:f>IF(COUNT($B$16,$B$19)=2,$B$16*(1+$B$19)^(E40-1),"brak danych")</x:f>
        <x:v>25461.6</x:v>
      </x:c>
      <x:c r="G40" s="37" t="n">
        <x:f>IF(COUNT($B$23,$B$29,$B$17,$B$20)=4,($B$23+$B$29+$B$17)*(1+$B$20)^(E40-1),"brak danych")</x:f>
        <x:v>16537.5</x:v>
      </x:c>
      <x:c r="H40" s="37" t="n">
        <x:f>IF(COUNT($B$18)=1,IF(D40=1,$B$18,0),"brak danych")</x:f>
        <x:v>0</x:v>
      </x:c>
      <x:c r="I40" s="37" t="n">
        <x:f>IF(COUNT(F40:H40)=3,F40-G40-H40,"brak danych")</x:f>
        <x:v>8924.099999999999</x:v>
      </x:c>
      <x:c r="J40" s="37" t="n">
        <x:f>IF(COUNT($I$16:I40)=D40,SUM($I$16:I40),"brak danych")</x:f>
        <x:v>212564.1</x:v>
      </x:c>
    </x:row>
    <x:row r="41" ht="25" customHeight="1">
      <x:c r="A41" s="28" t="str">
        <x:v>B18 obejmuje także równoległą obsługę lub wyjście,</x:v>
      </x:c>
      <x:c r="B41" s="28"/>
      <x:c r="C41" s="2"/>
      <x:c r="D41" s="36" t="n">
        <x:f>26</x:f>
        <x:v>26</x:v>
      </x:c>
      <x:c r="E41" s="36" t="n">
        <x:f>INT((D41-1)/12)+1</x:f>
        <x:v>3</x:v>
      </x:c>
      <x:c r="F41" s="37" t="n">
        <x:f>IF(COUNT($B$16,$B$19)=2,$B$16*(1+$B$19)^(E41-1),"brak danych")</x:f>
        <x:v>25461.6</x:v>
      </x:c>
      <x:c r="G41" s="37" t="n">
        <x:f>IF(COUNT($B$23,$B$29,$B$17,$B$20)=4,($B$23+$B$29+$B$17)*(1+$B$20)^(E41-1),"brak danych")</x:f>
        <x:v>16537.5</x:v>
      </x:c>
      <x:c r="H41" s="37" t="n">
        <x:f>IF(COUNT($B$18)=1,IF(D41=1,$B$18,0),"brak danych")</x:f>
        <x:v>0</x:v>
      </x:c>
      <x:c r="I41" s="37" t="n">
        <x:f>IF(COUNT(F41:H41)=3,F41-G41-H41,"brak danych")</x:f>
        <x:v>8924.099999999999</x:v>
      </x:c>
      <x:c r="J41" s="37" t="n">
        <x:f>IF(COUNT($I$16:I41)=D41,SUM($I$16:I41),"brak danych")</x:f>
        <x:v>221488.2</x:v>
      </x:c>
    </x:row>
    <x:row r="42" ht="25" customHeight="1">
      <x:c r="A42" s="28" t="str">
        <x:v>jeśli występują i są ponoszone na początku.</x:v>
      </x:c>
      <x:c r="B42" s="28"/>
      <x:c r="C42" s="2"/>
      <x:c r="D42" s="36" t="n">
        <x:f>27</x:f>
        <x:v>27</x:v>
      </x:c>
      <x:c r="E42" s="36" t="n">
        <x:f>INT((D42-1)/12)+1</x:f>
        <x:v>3</x:v>
      </x:c>
      <x:c r="F42" s="37" t="n">
        <x:f>IF(COUNT($B$16,$B$19)=2,$B$16*(1+$B$19)^(E42-1),"brak danych")</x:f>
        <x:v>25461.6</x:v>
      </x:c>
      <x:c r="G42" s="37" t="n">
        <x:f>IF(COUNT($B$23,$B$29,$B$17,$B$20)=4,($B$23+$B$29+$B$17)*(1+$B$20)^(E42-1),"brak danych")</x:f>
        <x:v>16537.5</x:v>
      </x:c>
      <x:c r="H42" s="37" t="n">
        <x:f>IF(COUNT($B$18)=1,IF(D42=1,$B$18,0),"brak danych")</x:f>
        <x:v>0</x:v>
      </x:c>
      <x:c r="I42" s="37" t="n">
        <x:f>IF(COUNT(F42:H42)=3,F42-G42-H42,"brak danych")</x:f>
        <x:v>8924.099999999999</x:v>
      </x:c>
      <x:c r="J42" s="37" t="n">
        <x:f>IF(COUNT($I$16:I42)=D42,SUM($I$16:I42),"brak danych")</x:f>
        <x:v>230412.30000000002</x:v>
      </x:c>
    </x:row>
    <x:row r="43" ht="25" customHeight="1">
      <x:c r="A43" s="28" t="str">
        <x:v>Indeksacja obejmuje cały koszyk kosztów strony.</x:v>
      </x:c>
      <x:c r="B43" s="28"/>
      <x:c r="C43" s="2"/>
      <x:c r="D43" s="36" t="n">
        <x:f>28</x:f>
        <x:v>28</x:v>
      </x:c>
      <x:c r="E43" s="36" t="n">
        <x:f>INT((D43-1)/12)+1</x:f>
        <x:v>3</x:v>
      </x:c>
      <x:c r="F43" s="37" t="n">
        <x:f>IF(COUNT($B$16,$B$19)=2,$B$16*(1+$B$19)^(E43-1),"brak danych")</x:f>
        <x:v>25461.6</x:v>
      </x:c>
      <x:c r="G43" s="37" t="n">
        <x:f>IF(COUNT($B$23,$B$29,$B$17,$B$20)=4,($B$23+$B$29+$B$17)*(1+$B$20)^(E43-1),"brak danych")</x:f>
        <x:v>16537.5</x:v>
      </x:c>
      <x:c r="H43" s="37" t="n">
        <x:f>IF(COUNT($B$18)=1,IF(D43=1,$B$18,0),"brak danych")</x:f>
        <x:v>0</x:v>
      </x:c>
      <x:c r="I43" s="37" t="n">
        <x:f>IF(COUNT(F43:H43)=3,F43-G43-H43,"brak danych")</x:f>
        <x:v>8924.099999999999</x:v>
      </x:c>
      <x:c r="J43" s="37" t="n">
        <x:f>IF(COUNT($I$16:I43)=D43,SUM($I$16:I43),"brak danych")</x:f>
        <x:v>239336.40000000002</x:v>
      </x:c>
    </x:row>
    <x:row r="44" ht="25" customHeight="1">
      <x:c r="A44" s="28" t="str">
        <x:v>Cena do aktualizacji: https://it-crew.eu/</x:v>
      </x:c>
      <x:c r="B44" s="28"/>
      <x:c r="C44" s="2"/>
      <x:c r="D44" s="36" t="n">
        <x:f>29</x:f>
        <x:v>29</x:v>
      </x:c>
      <x:c r="E44" s="36" t="n">
        <x:f>INT((D44-1)/12)+1</x:f>
        <x:v>3</x:v>
      </x:c>
      <x:c r="F44" s="37" t="n">
        <x:f>IF(COUNT($B$16,$B$19)=2,$B$16*(1+$B$19)^(E44-1),"brak danych")</x:f>
        <x:v>25461.6</x:v>
      </x:c>
      <x:c r="G44" s="37" t="n">
        <x:f>IF(COUNT($B$23,$B$29,$B$17,$B$20)=4,($B$23+$B$29+$B$17)*(1+$B$20)^(E44-1),"brak danych")</x:f>
        <x:v>16537.5</x:v>
      </x:c>
      <x:c r="H44" s="37" t="n">
        <x:f>IF(COUNT($B$18)=1,IF(D44=1,$B$18,0),"brak danych")</x:f>
        <x:v>0</x:v>
      </x:c>
      <x:c r="I44" s="37" t="n">
        <x:f>IF(COUNT(F44:H44)=3,F44-G44-H44,"brak danych")</x:f>
        <x:v>8924.099999999999</x:v>
      </x:c>
      <x:c r="J44" s="37" t="n">
        <x:f>IF(COUNT($I$16:I44)=D44,SUM($I$16:I44),"brak danych")</x:f>
        <x:v>248260.50000000003</x:v>
      </x:c>
    </x:row>
    <x:row r="45" ht="25" customHeight="1">
      <x:c r="A45" s="2"/>
      <x:c r="B45" s="2"/>
      <x:c r="C45" s="2"/>
      <x:c r="D45" s="36" t="n">
        <x:f>30</x:f>
        <x:v>30</x:v>
      </x:c>
      <x:c r="E45" s="36" t="n">
        <x:f>INT((D45-1)/12)+1</x:f>
        <x:v>3</x:v>
      </x:c>
      <x:c r="F45" s="37" t="n">
        <x:f>IF(COUNT($B$16,$B$19)=2,$B$16*(1+$B$19)^(E45-1),"brak danych")</x:f>
        <x:v>25461.6</x:v>
      </x:c>
      <x:c r="G45" s="37" t="n">
        <x:f>IF(COUNT($B$23,$B$29,$B$17,$B$20)=4,($B$23+$B$29+$B$17)*(1+$B$20)^(E45-1),"brak danych")</x:f>
        <x:v>16537.5</x:v>
      </x:c>
      <x:c r="H45" s="37" t="n">
        <x:f>IF(COUNT($B$18)=1,IF(D45=1,$B$18,0),"brak danych")</x:f>
        <x:v>0</x:v>
      </x:c>
      <x:c r="I45" s="37" t="n">
        <x:f>IF(COUNT(F45:H45)=3,F45-G45-H45,"brak danych")</x:f>
        <x:v>8924.099999999999</x:v>
      </x:c>
      <x:c r="J45" s="37" t="n">
        <x:f>IF(COUNT($I$16:I45)=D45,SUM($I$16:I45),"brak danych")</x:f>
        <x:v>257184.60000000003</x:v>
      </x:c>
    </x:row>
    <x:row r="46" ht="25" customHeight="1">
      <x:c r="A46" s="2"/>
      <x:c r="B46" s="2"/>
      <x:c r="C46" s="2"/>
      <x:c r="D46" s="36" t="n">
        <x:f>31</x:f>
        <x:v>31</x:v>
      </x:c>
      <x:c r="E46" s="36" t="n">
        <x:f>INT((D46-1)/12)+1</x:f>
        <x:v>3</x:v>
      </x:c>
      <x:c r="F46" s="37" t="n">
        <x:f>IF(COUNT($B$16,$B$19)=2,$B$16*(1+$B$19)^(E46-1),"brak danych")</x:f>
        <x:v>25461.6</x:v>
      </x:c>
      <x:c r="G46" s="37" t="n">
        <x:f>IF(COUNT($B$23,$B$29,$B$17,$B$20)=4,($B$23+$B$29+$B$17)*(1+$B$20)^(E46-1),"brak danych")</x:f>
        <x:v>16537.5</x:v>
      </x:c>
      <x:c r="H46" s="37" t="n">
        <x:f>IF(COUNT($B$18)=1,IF(D46=1,$B$18,0),"brak danych")</x:f>
        <x:v>0</x:v>
      </x:c>
      <x:c r="I46" s="37" t="n">
        <x:f>IF(COUNT(F46:H46)=3,F46-G46-H46,"brak danych")</x:f>
        <x:v>8924.099999999999</x:v>
      </x:c>
      <x:c r="J46" s="37" t="n">
        <x:f>IF(COUNT($I$16:I46)=D46,SUM($I$16:I46),"brak danych")</x:f>
        <x:v>266108.7</x:v>
      </x:c>
    </x:row>
    <x:row r="47" ht="25" customHeight="1">
      <x:c r="A47" s="2"/>
      <x:c r="B47" s="2"/>
      <x:c r="C47" s="2"/>
      <x:c r="D47" s="36" t="n">
        <x:f>32</x:f>
        <x:v>32</x:v>
      </x:c>
      <x:c r="E47" s="36" t="n">
        <x:f>INT((D47-1)/12)+1</x:f>
        <x:v>3</x:v>
      </x:c>
      <x:c r="F47" s="37" t="n">
        <x:f>IF(COUNT($B$16,$B$19)=2,$B$16*(1+$B$19)^(E47-1),"brak danych")</x:f>
        <x:v>25461.6</x:v>
      </x:c>
      <x:c r="G47" s="37" t="n">
        <x:f>IF(COUNT($B$23,$B$29,$B$17,$B$20)=4,($B$23+$B$29+$B$17)*(1+$B$20)^(E47-1),"brak danych")</x:f>
        <x:v>16537.5</x:v>
      </x:c>
      <x:c r="H47" s="37" t="n">
        <x:f>IF(COUNT($B$18)=1,IF(D47=1,$B$18,0),"brak danych")</x:f>
        <x:v>0</x:v>
      </x:c>
      <x:c r="I47" s="37" t="n">
        <x:f>IF(COUNT(F47:H47)=3,F47-G47-H47,"brak danych")</x:f>
        <x:v>8924.099999999999</x:v>
      </x:c>
      <x:c r="J47" s="37" t="n">
        <x:f>IF(COUNT($I$16:I47)=D47,SUM($I$16:I47),"brak danych")</x:f>
        <x:v>275032.8</x:v>
      </x:c>
    </x:row>
    <x:row r="48" ht="25" customHeight="1">
      <x:c r="A48" s="2"/>
      <x:c r="B48" s="2"/>
      <x:c r="C48" s="2"/>
      <x:c r="D48" s="36" t="n">
        <x:f>33</x:f>
        <x:v>33</x:v>
      </x:c>
      <x:c r="E48" s="36" t="n">
        <x:f>INT((D48-1)/12)+1</x:f>
        <x:v>3</x:v>
      </x:c>
      <x:c r="F48" s="37" t="n">
        <x:f>IF(COUNT($B$16,$B$19)=2,$B$16*(1+$B$19)^(E48-1),"brak danych")</x:f>
        <x:v>25461.6</x:v>
      </x:c>
      <x:c r="G48" s="37" t="n">
        <x:f>IF(COUNT($B$23,$B$29,$B$17,$B$20)=4,($B$23+$B$29+$B$17)*(1+$B$20)^(E48-1),"brak danych")</x:f>
        <x:v>16537.5</x:v>
      </x:c>
      <x:c r="H48" s="37" t="n">
        <x:f>IF(COUNT($B$18)=1,IF(D48=1,$B$18,0),"brak danych")</x:f>
        <x:v>0</x:v>
      </x:c>
      <x:c r="I48" s="37" t="n">
        <x:f>IF(COUNT(F48:H48)=3,F48-G48-H48,"brak danych")</x:f>
        <x:v>8924.099999999999</x:v>
      </x:c>
      <x:c r="J48" s="37" t="n">
        <x:f>IF(COUNT($I$16:I48)=D48,SUM($I$16:I48),"brak danych")</x:f>
        <x:v>283956.89999999997</x:v>
      </x:c>
    </x:row>
    <x:row r="49" ht="25" customHeight="1">
      <x:c r="A49" s="2"/>
      <x:c r="B49" s="2"/>
      <x:c r="C49" s="2"/>
      <x:c r="D49" s="36" t="n">
        <x:f>34</x:f>
        <x:v>34</x:v>
      </x:c>
      <x:c r="E49" s="36" t="n">
        <x:f>INT((D49-1)/12)+1</x:f>
        <x:v>3</x:v>
      </x:c>
      <x:c r="F49" s="37" t="n">
        <x:f>IF(COUNT($B$16,$B$19)=2,$B$16*(1+$B$19)^(E49-1),"brak danych")</x:f>
        <x:v>25461.6</x:v>
      </x:c>
      <x:c r="G49" s="37" t="n">
        <x:f>IF(COUNT($B$23,$B$29,$B$17,$B$20)=4,($B$23+$B$29+$B$17)*(1+$B$20)^(E49-1),"brak danych")</x:f>
        <x:v>16537.5</x:v>
      </x:c>
      <x:c r="H49" s="37" t="n">
        <x:f>IF(COUNT($B$18)=1,IF(D49=1,$B$18,0),"brak danych")</x:f>
        <x:v>0</x:v>
      </x:c>
      <x:c r="I49" s="37" t="n">
        <x:f>IF(COUNT(F49:H49)=3,F49-G49-H49,"brak danych")</x:f>
        <x:v>8924.099999999999</x:v>
      </x:c>
      <x:c r="J49" s="37" t="n">
        <x:f>IF(COUNT($I$16:I49)=D49,SUM($I$16:I49),"brak danych")</x:f>
        <x:v>292880.99999999994</x:v>
      </x:c>
    </x:row>
    <x:row r="50" ht="25" customHeight="1">
      <x:c r="A50" s="2"/>
      <x:c r="B50" s="2"/>
      <x:c r="C50" s="2"/>
      <x:c r="D50" s="36" t="n">
        <x:f>35</x:f>
        <x:v>35</x:v>
      </x:c>
      <x:c r="E50" s="36" t="n">
        <x:f>INT((D50-1)/12)+1</x:f>
        <x:v>3</x:v>
      </x:c>
      <x:c r="F50" s="37" t="n">
        <x:f>IF(COUNT($B$16,$B$19)=2,$B$16*(1+$B$19)^(E50-1),"brak danych")</x:f>
        <x:v>25461.6</x:v>
      </x:c>
      <x:c r="G50" s="37" t="n">
        <x:f>IF(COUNT($B$23,$B$29,$B$17,$B$20)=4,($B$23+$B$29+$B$17)*(1+$B$20)^(E50-1),"brak danych")</x:f>
        <x:v>16537.5</x:v>
      </x:c>
      <x:c r="H50" s="37" t="n">
        <x:f>IF(COUNT($B$18)=1,IF(D50=1,$B$18,0),"brak danych")</x:f>
        <x:v>0</x:v>
      </x:c>
      <x:c r="I50" s="37" t="n">
        <x:f>IF(COUNT(F50:H50)=3,F50-G50-H50,"brak danych")</x:f>
        <x:v>8924.099999999999</x:v>
      </x:c>
      <x:c r="J50" s="37" t="n">
        <x:f>IF(COUNT($I$16:I50)=D50,SUM($I$16:I50),"brak danych")</x:f>
        <x:v>301805.0999999999</x:v>
      </x:c>
    </x:row>
    <x:row r="51" ht="25" customHeight="1">
      <x:c r="A51" s="2"/>
      <x:c r="B51" s="2"/>
      <x:c r="C51" s="2"/>
      <x:c r="D51" s="38" t="n">
        <x:f>36</x:f>
        <x:v>36</x:v>
      </x:c>
      <x:c r="E51" s="38" t="n">
        <x:f>INT((D51-1)/12)+1</x:f>
        <x:v>3</x:v>
      </x:c>
      <x:c r="F51" s="39" t="n">
        <x:f>IF(COUNT($B$16,$B$19)=2,$B$16*(1+$B$19)^(E51-1),"brak danych")</x:f>
        <x:v>25461.6</x:v>
      </x:c>
      <x:c r="G51" s="39" t="n">
        <x:f>IF(COUNT($B$23,$B$29,$B$17,$B$20)=4,($B$23+$B$29+$B$17)*(1+$B$20)^(E51-1),"brak danych")</x:f>
        <x:v>16537.5</x:v>
      </x:c>
      <x:c r="H51" s="39" t="n">
        <x:f>IF(COUNT($B$18)=1,IF(D51=1,$B$18,0),"brak danych")</x:f>
        <x:v>0</x:v>
      </x:c>
      <x:c r="I51" s="39" t="n">
        <x:f>IF(COUNT(F51:H51)=3,F51-G51-H51,"brak danych")</x:f>
        <x:v>8924.099999999999</x:v>
      </x:c>
      <x:c r="J51" s="39" t="n">
        <x:f>IF(COUNT($I$16:I51)=D51,SUM($I$16:I51),"brak danych")</x:f>
        <x:v>310729.1999999999</x:v>
      </x:c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</x:sheetData>
  <x:conditionalFormatting sqref="B6:B11">
    <x:cfRule type="containsText" dxfId="0" priority="1" operator="containsText" text="brak"/>
  </x:conditionalFormatting>
  <x:conditionalFormatting sqref="B23:B23">
    <x:cfRule type="containsText" dxfId="1" priority="2" operator="containsText" text="brak"/>
  </x:conditionalFormatting>
  <x:conditionalFormatting sqref="B29:B29">
    <x:cfRule type="containsText" dxfId="2" priority="3" operator="containsText" text="brak"/>
  </x:conditionalFormatting>
  <x:dataValidations count="5">
    <x:dataValidation type="whole" operator="between" sqref="B14">
      <x:formula1>1</x:formula1>
      <x:formula2>3</x:formula2>
    </x:dataValidation>
    <x:dataValidation type="decimal" operator="between" sqref="B16:B18">
      <x:formula1>0</x:formula1>
      <x:formula2>10000000</x:formula2>
    </x:dataValidation>
    <x:dataValidation type="decimal" operator="between" sqref="B19:B20">
      <x:formula1>0</x:formula1>
      <x:formula2>1</x:formula2>
    </x:dataValidation>
    <x:dataValidation type="decimal" operator="between" sqref="B24:B26">
      <x:formula1>0</x:formula1>
      <x:formula2>10000000</x:formula2>
    </x:dataValidation>
    <x:dataValidation type="decimal" operator="between" sqref="B30:B32">
      <x:formula1>0</x:formula1>
      <x:formula2>10000000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2" hidden="0" customWidth="1"/>
    <x:col min="3" max="3" width="25" hidden="0" customWidth="1"/>
    <x:col min="4" max="4" width="25" hidden="0" customWidth="1"/>
    <x:col min="5" max="5" width="25" hidden="0" customWidth="1"/>
    <x:col min="6" max="6" width="4" hidden="0" customWidth="1"/>
    <x:col min="7" max="7" width="6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Ocena ofert: kompletność i wynik ważony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Proponowane wagi i skala 0–5. Oceny wypełnij na podstawie dowodów.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4"/>
      <x:c r="H4" s="2"/>
      <x:c r="I4" s="2"/>
      <x:c r="J4" s="2"/>
    </x:row>
    <x:row r="5" ht="34" customHeight="1">
      <x:c r="A5" s="14" t="str">
        <x:v>Kryterium / nazwa oferty</x:v>
      </x:c>
      <x:c r="B5" s="35" t="str">
        <x:v>Waga</x:v>
      </x:c>
      <x:c r="C5" s="43" t="str">
        <x:v>Oferta A</x:v>
      </x:c>
      <x:c r="D5" s="43" t="str">
        <x:v>Oferta B</x:v>
      </x:c>
      <x:c r="E5" s="44" t="str">
        <x:v>Oferta C</x:v>
      </x:c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Zakres i dopasowanie</x:v>
      </x:c>
      <x:c r="B7" s="32" t="n">
        <x:v>0.2</x:v>
      </x:c>
      <x:c r="C7" s="30"/>
      <x:c r="D7" s="30"/>
      <x:c r="E7" s="30"/>
      <x:c r="F7" s="2"/>
      <x:c r="G7" s="2" t="str">
        <x:v>0: niespełnione; 3: wymagany poziom; 5: ponad wymagania.</x:v>
      </x:c>
      <x:c r="H7" s="2"/>
      <x:c r="I7" s="2"/>
      <x:c r="J7" s="2"/>
    </x:row>
    <x:row r="8" ht="25" customHeight="1">
      <x:c r="A8" s="2" t="str">
        <x:v>Bezpieczeństwo i ciągłość</x:v>
      </x:c>
      <x:c r="B8" s="32" t="n">
        <x:v>0.25</x:v>
      </x:c>
      <x:c r="C8" s="30"/>
      <x:c r="D8" s="30"/>
      <x:c r="E8" s="30"/>
      <x:c r="F8" s="2"/>
      <x:c r="G8" s="2" t="str">
        <x:v>1, 2 i 4: poziomy pośrednie; brak danych pozostaje pusty.</x:v>
      </x:c>
      <x:c r="H8" s="2"/>
      <x:c r="I8" s="2"/>
      <x:c r="J8" s="2"/>
    </x:row>
    <x:row r="9" ht="25" customHeight="1">
      <x:c r="A9" s="2" t="str">
        <x:v>Organizacja obsługi</x:v>
      </x:c>
      <x:c r="B9" s="32" t="n">
        <x:v>0.2</x:v>
      </x:c>
      <x:c r="C9" s="30"/>
      <x:c r="D9" s="30"/>
      <x:c r="E9" s="30"/>
      <x:c r="F9" s="2"/>
      <x:c r="G9" s="2"/>
      <x:c r="H9" s="2"/>
      <x:c r="I9" s="2"/>
      <x:c r="J9" s="2"/>
    </x:row>
    <x:row r="10" ht="25" customHeight="1">
      <x:c r="A10" s="2" t="str">
        <x:v>Koszt porównywalnego zakresu</x:v>
      </x:c>
      <x:c r="B10" s="32" t="n">
        <x:v>0.2</x:v>
      </x:c>
      <x:c r="C10" s="30"/>
      <x:c r="D10" s="30"/>
      <x:c r="E10" s="30"/>
      <x:c r="F10" s="2"/>
      <x:c r="G10" s="2" t="str">
        <x:v>Źródło wag: propozycja analityczna z 24.10.2026.</x:v>
      </x:c>
      <x:c r="H10" s="2"/>
      <x:c r="I10" s="2"/>
      <x:c r="J10" s="2"/>
    </x:row>
    <x:row r="11" ht="25" customHeight="1">
      <x:c r="A11" s="2" t="str">
        <x:v>Przejrzystość i wyjście</x:v>
      </x:c>
      <x:c r="B11" s="32" t="n">
        <x:v>0.15</x:v>
      </x:c>
      <x:c r="C11" s="30"/>
      <x:c r="D11" s="30"/>
      <x:c r="E11" s="30"/>
      <x:c r="F11" s="2"/>
      <x:c r="G11" s="2" t="str">
        <x:v>Przed oceną uzgodnij dowód i opis poziomu dla kryterium.</x:v>
      </x:c>
      <x:c r="H11" s="2"/>
      <x:c r="I11" s="2"/>
      <x:c r="J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" t="str">
        <x:v>Suma wag</x:v>
      </x:c>
      <x:c r="B13" s="17" t="n">
        <x:f>SUM(B7:B11)</x:f>
        <x:v>1</x:v>
      </x:c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0" t="str">
        <x:v>Wynik ważony / 100</x:v>
      </x:c>
      <x:c r="B15" s="20"/>
      <x:c r="C15" s="46" t="str">
        <x:f>IF(AND(COUNT($B$7:$B$11)=5,ABS(SUM($B$7:$B$11)-1)&lt;0.000001,COUNT(C7:C11)=5,MIN(C7:C11)&gt;=0,MAX(C7:C11)&lt;=5),SUMPRODUCT($B$7:$B$11,C7:C11)/5*100,"uzupełnij / sprawdź")</x:f>
        <x:v>uzupełnij / sprawdź</x:v>
      </x:c>
      <x:c r="D15" s="46" t="str">
        <x:f>IF(AND(COUNT($B$7:$B$11)=5,ABS(SUM($B$7:$B$11)-1)&lt;0.000001,COUNT(D7:D11)=5,MIN(D7:D11)&gt;=0,MAX(D7:D11)&lt;=5),SUMPRODUCT($B$7:$B$11,D7:D11)/5*100,"uzupełnij / sprawdź")</x:f>
        <x:v>uzupełnij / sprawdź</x:v>
      </x:c>
      <x:c r="E15" s="46" t="str">
        <x:f>IF(AND(COUNT($B$7:$B$11)=5,ABS(SUM($B$7:$B$11)-1)&lt;0.000001,COUNT(E7:E11)=5,MIN(E7:E11)&gt;=0,MAX(E7:E11)&lt;=5),SUMPRODUCT($B$7:$B$11,E7:E11)/5*100,"uzupełnij / sprawdź")</x:f>
        <x:v>uzupełnij / sprawdź</x:v>
      </x:c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4" customHeight="1">
      <x:c r="A17" s="14" t="str">
        <x:v>Warunki obowiązkowe</x:v>
      </x:c>
      <x:c r="B17" s="35" t="str"/>
      <x:c r="C17" s="35" t="str">
        <x:f>C5</x:f>
        <x:v>Oferta A</x:v>
      </x:c>
      <x:c r="D17" s="35" t="str">
        <x:f>D5</x:f>
        <x:v>Oferta B</x:v>
      </x:c>
      <x:c r="E17" s="15" t="str">
        <x:f>E5</x:f>
        <x:v>Oferta C</x:v>
      </x:c>
      <x:c r="F17" s="2"/>
      <x:c r="G17" s="2"/>
      <x:c r="H17" s="2"/>
      <x:c r="I17" s="2"/>
      <x:c r="J17" s="2"/>
    </x:row>
    <x:row r="18" ht="32" customHeight="1">
      <x:c r="A18" s="47" t="str">
        <x:v>Kontrola klienta nad kontami i danymi</x:v>
      </x:c>
      <x:c r="B18" s="47"/>
      <x:c r="C18" s="48"/>
      <x:c r="D18" s="48"/>
      <x:c r="E18" s="48"/>
      <x:c r="F18" s="2"/>
      <x:c r="G18" s="2" t="str">
        <x:v>Wynik punktowy nie zastępuje warunków obowiązkowych.</x:v>
      </x:c>
      <x:c r="H18" s="2"/>
      <x:c r="I18" s="2"/>
      <x:c r="J18" s="2"/>
    </x:row>
    <x:row r="19" ht="32" customHeight="1">
      <x:c r="A19" s="47" t="str">
        <x:v>Akceptowalne warunki ochrony danych</x:v>
      </x:c>
      <x:c r="B19" s="47"/>
      <x:c r="C19" s="48"/>
      <x:c r="D19" s="48"/>
      <x:c r="E19" s="48"/>
      <x:c r="F19" s="2"/>
      <x:c r="G19" s="2" t="str">
        <x:v>Dopisz krytyczne wymagania swojej firmy przed oceną.</x:v>
      </x:c>
      <x:c r="H19" s="2"/>
      <x:c r="I19" s="2"/>
      <x:c r="J19" s="2"/>
    </x:row>
    <x:row r="20" ht="32" customHeight="1">
      <x:c r="A20" s="47" t="str">
        <x:v>Wykonalny plan ciągłości i odtworzenia</x:v>
      </x:c>
      <x:c r="B20" s="47"/>
      <x:c r="C20" s="48"/>
      <x:c r="D20" s="48"/>
      <x:c r="E20" s="48"/>
      <x:c r="F20" s="2"/>
      <x:c r="G20" s="2"/>
      <x:c r="H20" s="2"/>
      <x:c r="I20" s="2"/>
      <x:c r="J20" s="2"/>
    </x:row>
    <x:row r="21" ht="32" customHeight="1">
      <x:c r="A21" s="47"/>
      <x:c r="B21" s="47"/>
      <x:c r="C21" s="47"/>
      <x:c r="D21" s="47"/>
      <x:c r="E21" s="47"/>
      <x:c r="F21" s="2"/>
      <x:c r="G21" s="2"/>
      <x:c r="H21" s="2"/>
      <x:c r="I21" s="2"/>
      <x:c r="J21" s="2"/>
    </x:row>
    <x:row r="22" ht="32" customHeight="1">
      <x:c r="A22" s="47" t="str">
        <x:v>Gotowość do rozstrzygnięcia</x:v>
      </x:c>
      <x:c r="B22" s="47"/>
      <x:c r="C22" s="47" t="str">
        <x:f>IF(COUNTIFS(C18:C20,"Nie")&gt;0,"niespełniony warunek",IF(COUNTIFS(C18:C20,"Tak")&lt;3,"brak warunków",IF(ISNUMBER(C15),"komplet do decyzji","brak ocen / wag")))</x:f>
        <x:v>brak warunków</x:v>
      </x:c>
      <x:c r="D22" s="47" t="str">
        <x:f>IF(COUNTIFS(D18:D20,"Nie")&gt;0,"niespełniony warunek",IF(COUNTIFS(D18:D20,"Tak")&lt;3,"brak warunków",IF(ISNUMBER(D15),"komplet do decyzji","brak ocen / wag")))</x:f>
        <x:v>brak warunków</x:v>
      </x:c>
      <x:c r="E22" s="47" t="str">
        <x:f>IF(COUNTIFS(E18:E20,"Nie")&gt;0,"niespełniony warunek",IF(COUNTIFS(E18:E20,"Tak")&lt;3,"brak warunków",IF(ISNUMBER(E15),"komplet do decyzji","brak ocen / wag")))</x:f>
        <x:v>brak warunków</x:v>
      </x:c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C22:E22">
    <x:cfRule type="containsText" dxfId="3" priority="1" operator="containsText" text="brak"/>
    <x:cfRule type="containsText" dxfId="4" priority="2" operator="containsText" text="niespełniony"/>
  </x:conditionalFormatting>
  <x:conditionalFormatting sqref="B13:B13">
    <x:cfRule type="cellIs" dxfId="5" priority="3" operator="notEqual">
      <x:formula>1</x:formula>
    </x:cfRule>
  </x:conditionalFormatting>
  <x:dataValidations count="3">
    <x:dataValidation type="decimal" operator="between" sqref="B7:B11">
      <x:formula1>0</x:formula1>
      <x:formula2>1</x:formula2>
    </x:dataValidation>
    <x:dataValidation type="whole" operator="between" sqref="C7:E11">
      <x:formula1>0</x:formula1>
      <x:formula2>5</x:formula2>
    </x:dataValidation>
    <x:dataValidation type="list" sqref="C18:E20">
      <x:formula1>"Tak,Nie"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57" hidden="0" customWidth="1"/>
    <x:col min="3" max="3" width="25" hidden="0" customWidth="1"/>
    <x:col min="4" max="4" width="23" hidden="0" customWidth="1"/>
    <x:col min="5" max="5" width="24" hidden="0" customWidth="1"/>
    <x:col min="6" max="6" width="19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Katalog usług i rezultaty do odbioru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Punkty startowe do uzgodnienia; uzupełnij zasoby, godziny i odpowiedzialność.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4"/>
      <x:c r="H4" s="2"/>
      <x:c r="I4" s="2"/>
      <x:c r="J4" s="2"/>
    </x:row>
    <x:row r="5" ht="34" customHeight="1">
      <x:c r="A5" s="14" t="str">
        <x:v>Obszar</x:v>
      </x:c>
      <x:c r="B5" s="35" t="str">
        <x:v>Przykładowy rezultat</x:v>
      </x:c>
      <x:c r="C5" s="35" t="str">
        <x:v>Rytm do uzgodnienia</x:v>
      </x:c>
      <x:c r="D5" s="35" t="str">
        <x:v>Zasoby / godziny</x:v>
      </x:c>
      <x:c r="E5" s="35" t="str">
        <x:v>Właściciel klienta</x:v>
      </x:c>
      <x:c r="F5" s="35" t="str">
        <x:v>Cena / podstawa</x:v>
      </x:c>
      <x:c r="G5" s="15" t="str">
        <x:v>Potwierdzenie zakresu</x:v>
      </x:c>
      <x:c r="H5" s="2"/>
      <x:c r="I5" s="2"/>
      <x:c r="J5" s="2"/>
    </x:row>
    <x:row r="6" ht="68" customHeight="1">
      <x:c r="A6" s="49" t="str">
        <x:v>Helpdesk i stanowiska</x:v>
      </x:c>
      <x:c r="B6" s="49" t="str">
        <x:v>Rejestr zgłoszeń, standard stanowiska, proces przyjęcia i odejścia pracownika</x:v>
      </x:c>
      <x:c r="C6" s="48" t="str">
        <x:v>Według umowy</x:v>
      </x:c>
      <x:c r="D6" s="48"/>
      <x:c r="E6" s="48"/>
      <x:c r="F6" s="48"/>
      <x:c r="G6" s="48"/>
      <x:c r="H6" s="2"/>
      <x:c r="I6" s="2"/>
      <x:c r="J6" s="2"/>
    </x:row>
    <x:row r="7" ht="68" customHeight="1">
      <x:c r="A7" s="47" t="str">
        <x:v>Microsoft 365</x:v>
      </x:c>
      <x:c r="B7" s="47" t="str">
        <x:v>Uzgodniona konfiguracja kont, poczty i współpracy oraz dokumentacja migracji</x:v>
      </x:c>
      <x:c r="C7" s="48" t="str">
        <x:v>Według umowy</x:v>
      </x:c>
      <x:c r="D7" s="48"/>
      <x:c r="E7" s="48"/>
      <x:c r="F7" s="48"/>
      <x:c r="G7" s="48"/>
      <x:c r="H7" s="2"/>
      <x:c r="I7" s="2"/>
      <x:c r="J7" s="2"/>
    </x:row>
    <x:row r="8" ht="68" customHeight="1">
      <x:c r="A8" s="49" t="str">
        <x:v>Serwery i wirtualizacja</x:v>
      </x:c>
      <x:c r="B8" s="49" t="str">
        <x:v>Inwentaryzacja, aktualizacje, monitoring i dokumentacja konfiguracji</x:v>
      </x:c>
      <x:c r="C8" s="48" t="str">
        <x:v>Według umowy</x:v>
      </x:c>
      <x:c r="D8" s="48"/>
      <x:c r="E8" s="48"/>
      <x:c r="F8" s="48"/>
      <x:c r="G8" s="48"/>
      <x:c r="H8" s="2"/>
      <x:c r="I8" s="2"/>
      <x:c r="J8" s="2"/>
    </x:row>
    <x:row r="9" ht="68" customHeight="1">
      <x:c r="A9" s="47" t="str">
        <x:v>Sieci i serwerownie</x:v>
      </x:c>
      <x:c r="B9" s="47" t="str">
        <x:v>Schemat sieci, konfiguracje, pomiary oraz protokół testów odbiorowych</x:v>
      </x:c>
      <x:c r="C9" s="48" t="str">
        <x:v>Według umowy</x:v>
      </x:c>
      <x:c r="D9" s="48"/>
      <x:c r="E9" s="48"/>
      <x:c r="F9" s="48"/>
      <x:c r="G9" s="48"/>
      <x:c r="H9" s="2"/>
      <x:c r="I9" s="2"/>
      <x:c r="J9" s="2"/>
    </x:row>
    <x:row r="10" ht="68" customHeight="1">
      <x:c r="A10" s="49" t="str">
        <x:v>Backup</x:v>
      </x:c>
      <x:c r="B10" s="49" t="str">
        <x:v>Harmonogram kopii, retencja i protokół próby odtworzenia</x:v>
      </x:c>
      <x:c r="C10" s="48" t="str">
        <x:v>Według umowy</x:v>
      </x:c>
      <x:c r="D10" s="48"/>
      <x:c r="E10" s="48"/>
      <x:c r="F10" s="48"/>
      <x:c r="G10" s="48"/>
      <x:c r="H10" s="2"/>
      <x:c r="I10" s="2"/>
      <x:c r="J10" s="2"/>
    </x:row>
    <x:row r="11" ht="68" customHeight="1">
      <x:c r="A11" s="47" t="str">
        <x:v>Bezpieczeństwo</x:v>
      </x:c>
      <x:c r="B11" s="47" t="str">
        <x:v>Wynik audytu lub testu, lista podatności i plan działań naprawczych</x:v>
      </x:c>
      <x:c r="C11" s="48" t="str">
        <x:v>Według umowy</x:v>
      </x:c>
      <x:c r="D11" s="48"/>
      <x:c r="E11" s="48"/>
      <x:c r="F11" s="48"/>
      <x:c r="G11" s="48"/>
      <x:c r="H11" s="2"/>
      <x:c r="I11" s="2"/>
      <x:c r="J11" s="2"/>
    </x:row>
    <x:row r="12" ht="68" customHeight="1">
      <x:c r="A12" s="49" t="str">
        <x:v>Aplikacje biznesowe</x:v>
      </x:c>
      <x:c r="B12" s="49" t="str">
        <x:v>Uruchomiony proces, migracja danych i szkolenie użytkowników</x:v>
      </x:c>
      <x:c r="C12" s="48" t="str">
        <x:v>Według umowy</x:v>
      </x:c>
      <x:c r="D12" s="48"/>
      <x:c r="E12" s="48"/>
      <x:c r="F12" s="48"/>
      <x:c r="G12" s="48"/>
      <x:c r="H12" s="2"/>
      <x:c r="I12" s="2"/>
      <x:c r="J12" s="2"/>
    </x:row>
    <x:row r="13" ht="68" customHeight="1">
      <x:c r="A13" s="47" t="str">
        <x:v>DevOps i chmura</x:v>
      </x:c>
      <x:c r="B13" s="47" t="str">
        <x:v>Uzgodniony proces wdrożeń, monitoring i kontrola kosztów środowiska</x:v>
      </x:c>
      <x:c r="C13" s="48" t="str">
        <x:v>Według umowy</x:v>
      </x:c>
      <x:c r="D13" s="48"/>
      <x:c r="E13" s="48"/>
      <x:c r="F13" s="48"/>
      <x:c r="G13" s="48"/>
      <x:c r="H13" s="2"/>
      <x:c r="I13" s="2"/>
      <x:c r="J13" s="2"/>
    </x:row>
    <x:row r="14" ht="68" customHeight="1">
      <x:c r="A14" s="49" t="str">
        <x:v>CCTV i kontrola dostępu</x:v>
      </x:c>
      <x:c r="B14" s="49" t="str">
        <x:v>Dokumentacja instalacji, testy i uzgodnione uprawnienia administratorów</x:v>
      </x:c>
      <x:c r="C14" s="48" t="str">
        <x:v>Według umowy</x:v>
      </x:c>
      <x:c r="D14" s="48"/>
      <x:c r="E14" s="48"/>
      <x:c r="F14" s="48"/>
      <x:c r="G14" s="48"/>
      <x:c r="H14" s="2"/>
      <x:c r="I14" s="2"/>
      <x:c r="J14" s="2"/>
    </x:row>
    <x:row r="15" ht="68" customHeight="1">
      <x:c r="A15" s="47" t="str">
        <x:v>Telefonia i sprzęt</x:v>
      </x:c>
      <x:c r="B15" s="47" t="str">
        <x:v>Działające usługi, dokumentacja konfiguracji i ewidencja urządzeń</x:v>
      </x:c>
      <x:c r="C15" s="48" t="str">
        <x:v>Według umowy</x:v>
      </x:c>
      <x:c r="D15" s="48"/>
      <x:c r="E15" s="48"/>
      <x:c r="F15" s="48"/>
      <x:c r="G15" s="48"/>
      <x:c r="H15" s="2"/>
      <x:c r="I15" s="2"/>
      <x:c r="J15" s="2"/>
    </x:row>
    <x:row r="16" ht="68" customHeight="1">
      <x:c r="A16" s="49" t="str">
        <x:v>Doradztwo i NIS2</x:v>
      </x:c>
      <x:c r="B16" s="49" t="str">
        <x:v>Analiza luk, plan działań oraz uzgodnione dowody techniczne</x:v>
      </x:c>
      <x:c r="C16" s="48" t="str">
        <x:v>Według umowy</x:v>
      </x:c>
      <x:c r="D16" s="48"/>
      <x:c r="E16" s="48"/>
      <x:c r="F16" s="48"/>
      <x:c r="G16" s="48"/>
      <x:c r="H16" s="2"/>
      <x:c r="I16" s="2"/>
      <x:c r="J16" s="2"/>
    </x:row>
    <x:row r="17" ht="68" customHeight="1">
      <x:c r="A17" s="47" t="str">
        <x:v>AI i projekty specjalne</x:v>
      </x:c>
      <x:c r="B17" s="47" t="str">
        <x:v>Zakres pilotażu, miary jakości, prawa do danych i kryteria odbioru</x:v>
      </x:c>
      <x:c r="C17" s="48" t="str">
        <x:v>Według umowy</x:v>
      </x:c>
      <x:c r="D17" s="48"/>
      <x:c r="E17" s="48"/>
      <x:c r="F17" s="48"/>
      <x:c r="G17" s="48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 t="str">
        <x:v>Podstawa obszarów: oferta IT Crew, https://it-crew.eu/oferta/; rezultaty są propozycjami do negocjacji.</x:v>
      </x:c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40" hidden="0" customWidth="1"/>
    <x:col min="3" max="3" width="48" hidden="0" customWidth="1"/>
    <x:col min="4" max="4" width="6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Brief do wyceny usług IT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Uzupełnij żółte pola. Nie wpisuj haseł, kluczy ani innych sekretów.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2"/>
      <x:c r="F4" s="2"/>
      <x:c r="G4" s="2"/>
      <x:c r="H4" s="2"/>
      <x:c r="I4" s="2"/>
      <x:c r="J4" s="2"/>
    </x:row>
    <x:row r="5" ht="34" customHeight="1">
      <x:c r="A5" s="14" t="str">
        <x:v>Nr</x:v>
      </x:c>
      <x:c r="B5" s="35" t="str">
        <x:v>Pytanie</x:v>
      </x:c>
      <x:c r="C5" s="35" t="str">
        <x:v>Odpowiedź firmy</x:v>
      </x:c>
      <x:c r="D5" s="15" t="str">
        <x:v>Po co ta informacja</x:v>
      </x:c>
      <x:c r="E5" s="2"/>
      <x:c r="F5" s="2"/>
      <x:c r="G5" s="2"/>
      <x:c r="H5" s="2"/>
      <x:c r="I5" s="2"/>
      <x:c r="J5" s="2"/>
    </x:row>
    <x:row r="6" ht="48" customHeight="1">
      <x:c r="A6" s="49" t="n">
        <x:v>1</x:v>
      </x:c>
      <x:c r="B6" s="49" t="str">
        <x:v>Użytkownicy i stanowiska</x:v>
      </x:c>
      <x:c r="C6" s="48"/>
      <x:c r="D6" s="49" t="str">
        <x:v>Skala obsługi i liczba objętych urządzeń.</x:v>
      </x:c>
      <x:c r="E6" s="2"/>
      <x:c r="F6" s="2"/>
      <x:c r="G6" s="2"/>
      <x:c r="H6" s="2"/>
      <x:c r="I6" s="2"/>
      <x:c r="J6" s="2"/>
    </x:row>
    <x:row r="7" ht="48" customHeight="1">
      <x:c r="A7" s="47" t="n">
        <x:v>2</x:v>
      </x:c>
      <x:c r="B7" s="47" t="str">
        <x:v>Lokalizacje i praca zdalna</x:v>
      </x:c>
      <x:c r="C7" s="48"/>
      <x:c r="D7" s="47" t="str">
        <x:v>Dojazdy, łącza, sieci i sposób wsparcia.</x:v>
      </x:c>
      <x:c r="E7" s="2"/>
      <x:c r="F7" s="2"/>
      <x:c r="G7" s="2"/>
      <x:c r="H7" s="2"/>
      <x:c r="I7" s="2"/>
      <x:c r="J7" s="2"/>
    </x:row>
    <x:row r="8" ht="48" customHeight="1">
      <x:c r="A8" s="49" t="n">
        <x:v>3</x:v>
      </x:c>
      <x:c r="B8" s="49" t="str">
        <x:v>Godziny i dni pracy</x:v>
      </x:c>
      <x:c r="C8" s="48"/>
      <x:c r="D8" s="49" t="str">
        <x:v>Wymagane pokrycie oraz obsługa poza standardem.</x:v>
      </x:c>
      <x:c r="E8" s="2"/>
      <x:c r="F8" s="2"/>
      <x:c r="G8" s="2"/>
      <x:c r="H8" s="2"/>
      <x:c r="I8" s="2"/>
      <x:c r="J8" s="2"/>
    </x:row>
    <x:row r="9" ht="48" customHeight="1">
      <x:c r="A9" s="47" t="n">
        <x:v>4</x:v>
      </x:c>
      <x:c r="B9" s="47" t="str">
        <x:v>Procesy krytyczne i ich właściciele</x:v>
      </x:c>
      <x:c r="C9" s="48"/>
      <x:c r="D9" s="47" t="str">
        <x:v>Priorytety oraz osoba podejmująca decyzję.</x:v>
      </x:c>
      <x:c r="E9" s="2"/>
      <x:c r="F9" s="2"/>
      <x:c r="G9" s="2"/>
      <x:c r="H9" s="2"/>
      <x:c r="I9" s="2"/>
      <x:c r="J9" s="2"/>
    </x:row>
    <x:row r="10" ht="48" customHeight="1">
      <x:c r="A10" s="49" t="n">
        <x:v>5</x:v>
      </x:c>
      <x:c r="B10" s="49" t="str">
        <x:v>Serwery, aplikacje i integracje</x:v>
      </x:c>
      <x:c r="C10" s="48"/>
      <x:c r="D10" s="49" t="str">
        <x:v>Zależności i wymagane kompetencje.</x:v>
      </x:c>
      <x:c r="E10" s="2"/>
      <x:c r="F10" s="2"/>
      <x:c r="G10" s="2"/>
      <x:c r="H10" s="2"/>
      <x:c r="I10" s="2"/>
      <x:c r="J10" s="2"/>
    </x:row>
    <x:row r="11" ht="48" customHeight="1">
      <x:c r="A11" s="47" t="n">
        <x:v>6</x:v>
      </x:c>
      <x:c r="B11" s="47" t="str">
        <x:v>Microsoft 365 / chmura / licencje</x:v>
      </x:c>
      <x:c r="C11" s="48"/>
      <x:c r="D11" s="47" t="str">
        <x:v>Zakres administracji i koszty producentów.</x:v>
      </x:c>
      <x:c r="E11" s="2"/>
      <x:c r="F11" s="2"/>
      <x:c r="G11" s="2"/>
      <x:c r="H11" s="2"/>
      <x:c r="I11" s="2"/>
      <x:c r="J11" s="2"/>
    </x:row>
    <x:row r="12" ht="48" customHeight="1">
      <x:c r="A12" s="49" t="n">
        <x:v>7</x:v>
      </x:c>
      <x:c r="B12" s="49" t="str">
        <x:v>Kopie, testy, cele RTO i RPO</x:v>
      </x:c>
      <x:c r="C12" s="48"/>
      <x:c r="D12" s="49" t="str">
        <x:v>Wymagany poziom odtwarzania.</x:v>
      </x:c>
      <x:c r="E12" s="2"/>
      <x:c r="F12" s="2"/>
      <x:c r="G12" s="2"/>
      <x:c r="H12" s="2"/>
      <x:c r="I12" s="2"/>
      <x:c r="J12" s="2"/>
    </x:row>
    <x:row r="13" ht="48" customHeight="1">
      <x:c r="A13" s="47" t="n">
        <x:v>8</x:v>
      </x:c>
      <x:c r="B13" s="47" t="str">
        <x:v>Własny personel i jego rola</x:v>
      </x:c>
      <x:c r="C13" s="48"/>
      <x:c r="D13" s="47" t="str">
        <x:v>Podział zadań i prawidłowy rachunek kosztów.</x:v>
      </x:c>
      <x:c r="E13" s="2"/>
      <x:c r="F13" s="2"/>
      <x:c r="G13" s="2"/>
      <x:c r="H13" s="2"/>
      <x:c r="I13" s="2"/>
      <x:c r="J13" s="2"/>
    </x:row>
    <x:row r="14" ht="48" customHeight="1">
      <x:c r="A14" s="49" t="n">
        <x:v>9</x:v>
      </x:c>
      <x:c r="B14" s="49" t="str">
        <x:v>Obecne umowy i terminy wyjścia</x:v>
      </x:c>
      <x:c r="C14" s="48"/>
      <x:c r="D14" s="49" t="str">
        <x:v>Plan przejęcia oraz koszty okresu równoległego.</x:v>
      </x:c>
      <x:c r="E14" s="2"/>
      <x:c r="F14" s="2"/>
      <x:c r="G14" s="2"/>
      <x:c r="H14" s="2"/>
      <x:c r="I14" s="2"/>
      <x:c r="J14" s="2"/>
    </x:row>
    <x:row r="15" ht="48" customHeight="1">
      <x:c r="A15" s="47" t="n">
        <x:v>10</x:v>
      </x:c>
      <x:c r="B15" s="47" t="str">
        <x:v>Zgłoszenia i awarie z ostatnich miesięcy</x:v>
      </x:c>
      <x:c r="C15" s="48"/>
      <x:c r="D15" s="47" t="str">
        <x:v>Obciążenie, powtarzalność i priorytety napraw.</x:v>
      </x:c>
      <x:c r="E15" s="2"/>
      <x:c r="F15" s="2"/>
      <x:c r="G15" s="2"/>
      <x:c r="H15" s="2"/>
      <x:c r="I15" s="2"/>
      <x:c r="J15" s="2"/>
    </x:row>
    <x:row r="16" ht="48" customHeight="1">
      <x:c r="A16" s="49" t="n">
        <x:v>11</x:v>
      </x:c>
      <x:c r="B16" s="49" t="str">
        <x:v>Aktualność dokumentacji</x:v>
      </x:c>
      <x:c r="C16" s="48"/>
      <x:c r="D16" s="49" t="str">
        <x:v>Nakład pracy przed przejęciem obsługi.</x:v>
      </x:c>
      <x:c r="E16" s="2"/>
      <x:c r="F16" s="2"/>
      <x:c r="G16" s="2"/>
      <x:c r="H16" s="2"/>
      <x:c r="I16" s="2"/>
      <x:c r="J16" s="2"/>
    </x:row>
    <x:row r="17" ht="48" customHeight="1">
      <x:c r="A17" s="47" t="n">
        <x:v>12</x:v>
      </x:c>
      <x:c r="B17" s="47" t="str">
        <x:v>Wymagania ochrony danych i branżowe</x:v>
      </x:c>
      <x:c r="C17" s="48"/>
      <x:c r="D17" s="47" t="str">
        <x:v>Zakres umów, zabezpieczeń i dowodów.</x:v>
      </x:c>
      <x:c r="E17" s="2"/>
      <x:c r="F17" s="2"/>
      <x:c r="G17" s="2"/>
      <x:c r="H17" s="2"/>
      <x:c r="I17" s="2"/>
      <x:c r="J17" s="2"/>
    </x:row>
    <x:row r="18" ht="48" customHeight="1">
      <x:c r="A18" s="49" t="n">
        <x:v>13</x:v>
      </x:c>
      <x:c r="B18" s="49" t="str">
        <x:v>Docelowy zakres i planowane projekty</x:v>
      </x:c>
      <x:c r="C18" s="48"/>
      <x:c r="D18" s="49" t="str">
        <x:v>Rozdzielenie utrzymania od rozwoju.</x:v>
      </x:c>
      <x:c r="E18" s="2"/>
      <x:c r="F18" s="2"/>
      <x:c r="G18" s="2"/>
      <x:c r="H18" s="2"/>
      <x:c r="I18" s="2"/>
      <x:c r="J18" s="2"/>
    </x:row>
    <x:row r="19" ht="48" customHeight="1">
      <x:c r="A19" s="47" t="n">
        <x:v>14</x:v>
      </x:c>
      <x:c r="B19" s="47" t="str">
        <x:v>Termin, budżet i kryteria odbioru</x:v>
      </x:c>
      <x:c r="C19" s="48"/>
      <x:c r="D19" s="47" t="str">
        <x:v>Wykonalność oraz porównywalność oferty.</x:v>
      </x:c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28" hidden="0" customWidth="1"/>
    <x:col min="3" max="3" width="58" hidden="0" customWidth="1"/>
    <x:col min="4" max="4" width="25" hidden="0" customWidth="1"/>
    <x:col min="5" max="5" width="19" hidden="0" customWidth="1"/>
    <x:col min="6" max="6" width="24" hidden="0" customWidth="1"/>
    <x:col min="7" max="7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Rejestr ryzyk współpracy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Właściciel, termin i dowód działania do uzupełnienia; bez fikcyjnych ocen ryzyka.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4"/>
      <x:c r="H4" s="2"/>
      <x:c r="I4" s="2"/>
      <x:c r="J4" s="2"/>
    </x:row>
    <x:row r="5" ht="34" customHeight="1">
      <x:c r="A5" s="14" t="str">
        <x:v>ID</x:v>
      </x:c>
      <x:c r="B5" s="35" t="str">
        <x:v>Ryzyko</x:v>
      </x:c>
      <x:c r="C5" s="35" t="str">
        <x:v>Działanie / kontrola</x:v>
      </x:c>
      <x:c r="D5" s="35" t="str">
        <x:v>Właściciel</x:v>
      </x:c>
      <x:c r="E5" s="35" t="str">
        <x:v>Termin</x:v>
      </x:c>
      <x:c r="F5" s="35" t="str">
        <x:v>Status</x:v>
      </x:c>
      <x:c r="G5" s="15" t="str">
        <x:v>Dowód / decyzja</x:v>
      </x:c>
      <x:c r="H5" s="2"/>
      <x:c r="I5" s="2"/>
      <x:c r="J5" s="2"/>
    </x:row>
    <x:row r="6" ht="52" customHeight="1">
      <x:c r="A6" s="49" t="str">
        <x:v>R1</x:v>
      </x:c>
      <x:c r="B6" s="49" t="str">
        <x:v>Niepełny zakres</x:v>
      </x:c>
      <x:c r="C6" s="49" t="str">
        <x:v>Katalog usług, lista zasobów i wyłączeń; kontrola zmian.</x:v>
      </x:c>
      <x:c r="D6" s="48"/>
      <x:c r="E6" s="50"/>
      <x:c r="F6" s="48"/>
      <x:c r="G6" s="48"/>
      <x:c r="H6" s="2"/>
      <x:c r="I6" s="2"/>
      <x:c r="J6" s="2"/>
    </x:row>
    <x:row r="7" ht="52" customHeight="1">
      <x:c r="A7" s="47" t="str">
        <x:v>R2</x:v>
      </x:c>
      <x:c r="B7" s="47" t="str">
        <x:v>Nieprzewidziane opłaty</x:v>
      </x:c>
      <x:c r="C7" s="47" t="str">
        <x:v>Cennik dodatkowy, limity i akceptacja przed pracą.</x:v>
      </x:c>
      <x:c r="D7" s="48"/>
      <x:c r="E7" s="50"/>
      <x:c r="F7" s="48"/>
      <x:c r="G7" s="48"/>
      <x:c r="H7" s="2"/>
      <x:c r="I7" s="2"/>
      <x:c r="J7" s="2"/>
    </x:row>
    <x:row r="8" ht="52" customHeight="1">
      <x:c r="A8" s="49" t="str">
        <x:v>R3</x:v>
      </x:c>
      <x:c r="B8" s="49" t="str">
        <x:v>Zależność od dostawcy</x:v>
      </x:c>
      <x:c r="C8" s="49" t="str">
        <x:v>Dokumentacja, własność kont i plan wyjścia.</x:v>
      </x:c>
      <x:c r="D8" s="48"/>
      <x:c r="E8" s="50"/>
      <x:c r="F8" s="48"/>
      <x:c r="G8" s="48"/>
      <x:c r="H8" s="2"/>
      <x:c r="I8" s="2"/>
      <x:c r="J8" s="2"/>
    </x:row>
    <x:row r="9" ht="52" customHeight="1">
      <x:c r="A9" s="47" t="str">
        <x:v>R4</x:v>
      </x:c>
      <x:c r="B9" s="47" t="str">
        <x:v>Przerwa przy przejęciu</x:v>
      </x:c>
      <x:c r="C9" s="47" t="str">
        <x:v>Kryteria gotowości, próba i plan powrotu.</x:v>
      </x:c>
      <x:c r="D9" s="48"/>
      <x:c r="E9" s="50"/>
      <x:c r="F9" s="48"/>
      <x:c r="G9" s="48"/>
      <x:c r="H9" s="2"/>
      <x:c r="I9" s="2"/>
      <x:c r="J9" s="2"/>
    </x:row>
    <x:row r="10" ht="52" customHeight="1">
      <x:c r="A10" s="49" t="str">
        <x:v>R5</x:v>
      </x:c>
      <x:c r="B10" s="49" t="str">
        <x:v>Brak odtwarzania</x:v>
      </x:c>
      <x:c r="C10" s="49" t="str">
        <x:v>Próba odtworzenia i usunięcie wykrytych braków.</x:v>
      </x:c>
      <x:c r="D10" s="48"/>
      <x:c r="E10" s="50"/>
      <x:c r="F10" s="48"/>
      <x:c r="G10" s="48"/>
      <x:c r="H10" s="2"/>
      <x:c r="I10" s="2"/>
      <x:c r="J10" s="2"/>
    </x:row>
    <x:row r="11" ht="52" customHeight="1">
      <x:c r="A11" s="47" t="str">
        <x:v>R6</x:v>
      </x:c>
      <x:c r="B11" s="47" t="str">
        <x:v>Nadmierny dostęp</x:v>
      </x:c>
      <x:c r="C11" s="47" t="str">
        <x:v>Role, MFA, rejestry i przeglądy uprawnień.</x:v>
      </x:c>
      <x:c r="D11" s="48"/>
      <x:c r="E11" s="50"/>
      <x:c r="F11" s="48"/>
      <x:c r="G11" s="48"/>
      <x:c r="H11" s="2"/>
      <x:c r="I11" s="2"/>
      <x:c r="J11" s="2"/>
    </x:row>
    <x:row r="12" ht="52" customHeight="1">
      <x:c r="A12" s="49" t="str">
        <x:v>R7</x:v>
      </x:c>
      <x:c r="B12" s="49" t="str">
        <x:v>Niejasne eskalacje</x:v>
      </x:c>
      <x:c r="C12" s="49" t="str">
        <x:v>Kontakty, priorytety i upoważnienia.</x:v>
      </x:c>
      <x:c r="D12" s="48"/>
      <x:c r="E12" s="50"/>
      <x:c r="F12" s="48"/>
      <x:c r="G12" s="48"/>
      <x:c r="H12" s="2"/>
      <x:c r="I12" s="2"/>
      <x:c r="J12" s="2"/>
    </x:row>
    <x:row r="13" ht="52" customHeight="1">
      <x:c r="A13" s="47" t="str">
        <x:v>R8</x:v>
      </x:c>
      <x:c r="B13" s="47" t="str">
        <x:v>Brak zastępstw</x:v>
      </x:c>
      <x:c r="C13" s="47" t="str">
        <x:v>Opis obsady, zastępstwa i przejęcie wiedzy.</x:v>
      </x:c>
      <x:c r="D13" s="48"/>
      <x:c r="E13" s="50"/>
      <x:c r="F13" s="48"/>
      <x:c r="G13" s="48"/>
      <x:c r="H13" s="2"/>
      <x:c r="I13" s="2"/>
      <x:c r="J13" s="2"/>
    </x:row>
    <x:row r="14" ht="52" customHeight="1">
      <x:c r="A14" s="49" t="str">
        <x:v>R9</x:v>
      </x:c>
      <x:c r="B14" s="49" t="str">
        <x:v>Rozbieżne metryki</x:v>
      </x:c>
      <x:c r="C14" s="49" t="str">
        <x:v>Definicje, zegary SLA i dane źródłowe.</x:v>
      </x:c>
      <x:c r="D14" s="48"/>
      <x:c r="E14" s="50"/>
      <x:c r="F14" s="48"/>
      <x:c r="G14" s="48"/>
      <x:c r="H14" s="2"/>
      <x:c r="I14" s="2"/>
      <x:c r="J14" s="2"/>
    </x:row>
    <x:row r="15" ht="52" customHeight="1">
      <x:c r="A15" s="47" t="str">
        <x:v>R10</x:v>
      </x:c>
      <x:c r="B15" s="47" t="str">
        <x:v>Nieaktualny budżet</x:v>
      </x:c>
      <x:c r="C15" s="47" t="str">
        <x:v>Przegląd indeksacji, licencji i planu wymian.</x:v>
      </x:c>
      <x:c r="D15" s="48"/>
      <x:c r="E15" s="50"/>
      <x:c r="F15" s="48"/>
      <x:c r="G15" s="48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 t="str">
        <x:v>Propozycja do warsztatu; zamknięcie wymaga dowodu, a pozostające ryzyko — jawnej decyzji uprawnionej osoby.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</x:sheetData>
  <x:dataValidations count="1">
    <x:dataValidation type="list" sqref="F6:F15">
      <x:formula1>"Do oceny,W realizacji,Do akceptacji,Zamknięte"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7" hidden="0" customWidth="1"/>
    <x:col min="3" max="3" width="50" hidden="0" customWidth="1"/>
    <x:col min="4" max="4" width="55" hidden="0" customWidth="1"/>
    <x:col min="5" max="5" width="24" hidden="0" customWidth="1"/>
    <x:col min="6" max="6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Plan przejęcia obsługi w 90 dni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Orientacyjny plan; terminy należy ustalić po inwentaryzacji.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2"/>
      <x:c r="H4" s="2"/>
      <x:c r="I4" s="2"/>
      <x:c r="J4" s="2"/>
    </x:row>
    <x:row r="5" ht="34" customHeight="1">
      <x:c r="A5" s="14" t="str">
        <x:v>Dni</x:v>
      </x:c>
      <x:c r="B5" s="35" t="str">
        <x:v>Etap</x:v>
      </x:c>
      <x:c r="C5" s="35" t="str">
        <x:v>Rezultat</x:v>
      </x:c>
      <x:c r="D5" s="35" t="str">
        <x:v>Kryterium odbioru</x:v>
      </x:c>
      <x:c r="E5" s="35" t="str">
        <x:v>Właściciel</x:v>
      </x:c>
      <x:c r="F5" s="15" t="str">
        <x:v>Status</x:v>
      </x:c>
      <x:c r="G5" s="2"/>
      <x:c r="H5" s="2"/>
      <x:c r="I5" s="2"/>
      <x:c r="J5" s="2"/>
    </x:row>
    <x:row r="6" ht="72" customHeight="1">
      <x:c r="A6" s="49" t="str">
        <x:v>1–15</x:v>
      </x:c>
      <x:c r="B6" s="49" t="str">
        <x:v>Inwentaryzacja</x:v>
      </x:c>
      <x:c r="C6" s="49" t="str">
        <x:v>Zasoby, zależności, konta, umowy i lista braków.</x:v>
      </x:c>
      <x:c r="D6" s="49" t="str">
        <x:v>Kompletność zatwierdzona przez klienta.</x:v>
      </x:c>
      <x:c r="E6" s="48"/>
      <x:c r="F6" s="48"/>
      <x:c r="G6" s="2"/>
      <x:c r="H6" s="2"/>
      <x:c r="I6" s="2"/>
      <x:c r="J6" s="2"/>
    </x:row>
    <x:row r="7" ht="72" customHeight="1">
      <x:c r="A7" s="47" t="str">
        <x:v>1–15</x:v>
      </x:c>
      <x:c r="B7" s="47" t="str">
        <x:v>Uzgodnienie usługi</x:v>
      </x:c>
      <x:c r="C7" s="47" t="str">
        <x:v>Katalog, SLA, kontakty, ryzyka i plan zmian.</x:v>
      </x:c>
      <x:c r="D7" s="47" t="str">
        <x:v>Zaakceptowane obowiązki oraz wyłączenia.</x:v>
      </x:c>
      <x:c r="E7" s="48"/>
      <x:c r="F7" s="48"/>
      <x:c r="G7" s="2"/>
      <x:c r="H7" s="2"/>
      <x:c r="I7" s="2"/>
      <x:c r="J7" s="2"/>
    </x:row>
    <x:row r="8" ht="72" customHeight="1">
      <x:c r="A8" s="49" t="str">
        <x:v>16–30</x:v>
      </x:c>
      <x:c r="B8" s="49" t="str">
        <x:v>Przygotowanie</x:v>
      </x:c>
      <x:c r="C8" s="49" t="str">
        <x:v>Narzędzia, dostępy, zgłoszenia i dokumentacja.</x:v>
      </x:c>
      <x:c r="D8" s="49" t="str">
        <x:v>Sprawdzona ścieżka zgłoszenia i eskalacji.</x:v>
      </x:c>
      <x:c r="E8" s="48"/>
      <x:c r="F8" s="48"/>
      <x:c r="G8" s="2"/>
      <x:c r="H8" s="2"/>
      <x:c r="I8" s="2"/>
      <x:c r="J8" s="2"/>
    </x:row>
    <x:row r="9" ht="72" customHeight="1">
      <x:c r="A9" s="47" t="str">
        <x:v>16–30</x:v>
      </x:c>
      <x:c r="B9" s="47" t="str">
        <x:v>Próby i przejęcie</x:v>
      </x:c>
      <x:c r="C9" s="47" t="str">
        <x:v>Testy, plan powrotu i rozpoczęcie obsługi.</x:v>
      </x:c>
      <x:c r="D9" s="47" t="str">
        <x:v>Spełnione kryteria krytyczne przed zmianą.</x:v>
      </x:c>
      <x:c r="E9" s="48"/>
      <x:c r="F9" s="48"/>
      <x:c r="G9" s="2"/>
      <x:c r="H9" s="2"/>
      <x:c r="I9" s="2"/>
      <x:c r="J9" s="2"/>
    </x:row>
    <x:row r="10" ht="72" customHeight="1">
      <x:c r="A10" s="49" t="str">
        <x:v>31–60</x:v>
      </x:c>
      <x:c r="B10" s="49" t="str">
        <x:v>Stabilizacja</x:v>
      </x:c>
      <x:c r="C10" s="49" t="str">
        <x:v>Usunięte kluczowe braki; pierwszy raport.</x:v>
      </x:c>
      <x:c r="D10" s="49" t="str">
        <x:v>Problemy mają właścicieli i terminy.</x:v>
      </x:c>
      <x:c r="E10" s="48"/>
      <x:c r="F10" s="48"/>
      <x:c r="G10" s="2"/>
      <x:c r="H10" s="2"/>
      <x:c r="I10" s="2"/>
      <x:c r="J10" s="2"/>
    </x:row>
    <x:row r="11" ht="72" customHeight="1">
      <x:c r="A11" s="47" t="str">
        <x:v>61–90</x:v>
      </x:c>
      <x:c r="B11" s="47" t="str">
        <x:v>Odbiór i rozwój</x:v>
      </x:c>
      <x:c r="C11" s="47" t="str">
        <x:v>Protokół odbioru oraz plan kolejnego kwartału.</x:v>
      </x:c>
      <x:c r="D11" s="47" t="str">
        <x:v>Biznes potwierdza działanie uzgodnionych usług.</x:v>
      </x:c>
      <x:c r="E11" s="48"/>
      <x:c r="F11" s="48"/>
      <x:c r="G11" s="2"/>
      <x:c r="H11" s="2"/>
      <x:c r="I11" s="2"/>
      <x:c r="J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" t="str">
        <x:v>Przejście do kolejnej fazy zależy od kryteriów, nie tylko od upływu dni.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</x:sheetData>
  <x:dataValidations count="1">
    <x:dataValidation type="list" sqref="F6:F11">
      <x:formula1>"Nie rozpoczęto,W toku,Blokada,Do odbioru,Zakończono"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0" hidden="0" customWidth="1"/>
    <x:col min="3" max="3" width="20" hidden="0" customWidth="1"/>
    <x:col min="4" max="4" width="24" hidden="0" customWidth="1"/>
    <x:col min="5" max="5" width="22" hidden="0" customWidth="1"/>
    <x:col min="6" max="6" width="21" hidden="0" customWidth="1"/>
    <x:col min="7" max="7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Raport SLA i odtwarzania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Okres raportu:</x:v>
      </x:c>
      <x:c r="B3" s="29"/>
      <x:c r="C3" s="29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4"/>
      <x:c r="H4" s="2"/>
      <x:c r="I4" s="2"/>
      <x:c r="J4" s="2"/>
    </x:row>
    <x:row r="5" ht="34" customHeight="1">
      <x:c r="A5" s="14" t="str">
        <x:v>Priorytet</x:v>
      </x:c>
      <x:c r="B5" s="35" t="str">
        <x:v>Nowe zgłoszenia</x:v>
      </x:c>
      <x:c r="C5" s="35" t="str">
        <x:v>Zamknięte</x:v>
      </x:c>
      <x:c r="D5" s="35" t="str">
        <x:v>Podlegające ocenie SLA</x:v>
      </x:c>
      <x:c r="E5" s="35" t="str">
        <x:v>Spełniające cel</x:v>
      </x:c>
      <x:c r="F5" s="35" t="str">
        <x:v>Zgodność z SLA</x:v>
      </x:c>
      <x:c r="G5" s="15" t="str">
        <x:v>Status danych</x:v>
      </x:c>
      <x:c r="H5" s="2"/>
      <x:c r="I5" s="2"/>
      <x:c r="J5" s="2"/>
    </x:row>
    <x:row r="6" ht="25" customHeight="1">
      <x:c r="A6" s="2" t="str">
        <x:v>P1</x:v>
      </x:c>
      <x:c r="B6" s="30"/>
      <x:c r="C6" s="30"/>
      <x:c r="D6" s="30"/>
      <x:c r="E6" s="30"/>
      <x:c r="F6" s="17" t="str">
        <x:f>IF(COUNT(D6:E6)&lt;2,"n.a.",IF(OR(D6&lt;0,E6&lt;0,E6&gt;D6),"sprawdź",IF(D6=0,"n.a.",E6/D6)))</x:f>
        <x:v>n.a.</x:v>
      </x:c>
      <x:c r="G6" s="2" t="str">
        <x:f>IF(COUNT(B6:E6)&lt;4,"uzupełnij dane",IF(OR(MIN(B6:E6)&lt;0,E6&gt;D6),"sprawdź liczby",IF(D6=0,"brak populacji SLA","komplet danych")))</x:f>
        <x:v>uzupełnij dane</x:v>
      </x:c>
      <x:c r="H6" s="2"/>
      <x:c r="I6" s="2"/>
      <x:c r="J6" s="2"/>
    </x:row>
    <x:row r="7" ht="25" customHeight="1">
      <x:c r="A7" s="2" t="str">
        <x:v>P2</x:v>
      </x:c>
      <x:c r="B7" s="30"/>
      <x:c r="C7" s="30"/>
      <x:c r="D7" s="30"/>
      <x:c r="E7" s="30"/>
      <x:c r="F7" s="17" t="str">
        <x:f>IF(COUNT(D7:E7)&lt;2,"n.a.",IF(OR(D7&lt;0,E7&lt;0,E7&gt;D7),"sprawdź",IF(D7=0,"n.a.",E7/D7)))</x:f>
        <x:v>n.a.</x:v>
      </x:c>
      <x:c r="G7" s="2" t="str">
        <x:f>IF(COUNT(B7:E7)&lt;4,"uzupełnij dane",IF(OR(MIN(B7:E7)&lt;0,E7&gt;D7),"sprawdź liczby",IF(D7=0,"brak populacji SLA","komplet danych")))</x:f>
        <x:v>uzupełnij dane</x:v>
      </x:c>
      <x:c r="H7" s="2"/>
      <x:c r="I7" s="2"/>
      <x:c r="J7" s="2"/>
    </x:row>
    <x:row r="8" ht="25" customHeight="1">
      <x:c r="A8" s="2" t="str">
        <x:v>P3</x:v>
      </x:c>
      <x:c r="B8" s="30"/>
      <x:c r="C8" s="30"/>
      <x:c r="D8" s="30"/>
      <x:c r="E8" s="30"/>
      <x:c r="F8" s="17" t="str">
        <x:f>IF(COUNT(D8:E8)&lt;2,"n.a.",IF(OR(D8&lt;0,E8&lt;0,E8&gt;D8),"sprawdź",IF(D8=0,"n.a.",E8/D8)))</x:f>
        <x:v>n.a.</x:v>
      </x:c>
      <x:c r="G8" s="2" t="str">
        <x:f>IF(COUNT(B8:E8)&lt;4,"uzupełnij dane",IF(OR(MIN(B8:E8)&lt;0,E8&gt;D8),"sprawdź liczby",IF(D8=0,"brak populacji SLA","komplet danych")))</x:f>
        <x:v>uzupełnij dane</x:v>
      </x:c>
      <x:c r="H8" s="2"/>
      <x:c r="I8" s="2"/>
      <x:c r="J8" s="2"/>
    </x:row>
    <x:row r="9" ht="25" customHeight="1">
      <x:c r="A9" s="2" t="str">
        <x:v>P4</x:v>
      </x:c>
      <x:c r="B9" s="30"/>
      <x:c r="C9" s="30"/>
      <x:c r="D9" s="30"/>
      <x:c r="E9" s="30"/>
      <x:c r="F9" s="17" t="str">
        <x:f>IF(COUNT(D9:E9)&lt;2,"n.a.",IF(OR(D9&lt;0,E9&lt;0,E9&gt;D9),"sprawdź",IF(D9=0,"n.a.",E9/D9)))</x:f>
        <x:v>n.a.</x:v>
      </x:c>
      <x:c r="G9" s="2" t="str">
        <x:f>IF(COUNT(B9:E9)&lt;4,"uzupełnij dane",IF(OR(MIN(B9:E9)&lt;0,E9&gt;D9),"sprawdź liczby",IF(D9=0,"brak populacji SLA","komplet danych")))</x:f>
        <x:v>uzupełnij dane</x:v>
      </x:c>
      <x:c r="H9" s="2"/>
      <x:c r="I9" s="2"/>
      <x:c r="J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 t="str">
        <x:v>Cel SLA do pomiaru:</x:v>
      </x:c>
      <x:c r="B12" s="29"/>
      <x:c r="C12" s="29"/>
      <x:c r="D12" s="29"/>
      <x:c r="E12" s="29"/>
      <x:c r="F12" s="2"/>
      <x:c r="G12" s="2"/>
      <x:c r="H12" s="2"/>
      <x:c r="I12" s="2"/>
      <x:c r="J12" s="2"/>
    </x:row>
    <x:row r="13" ht="25" customHeight="1">
      <x:c r="A13" s="2" t="str">
        <x:v>Źródło i wyłączenia:</x:v>
      </x:c>
      <x:c r="B13" s="29"/>
      <x:c r="C13" s="29"/>
      <x:c r="D13" s="29"/>
      <x:c r="E13" s="29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34" customHeight="1">
      <x:c r="A16" s="14" t="str">
        <x:v>Proces</x:v>
      </x:c>
      <x:c r="B16" s="35" t="str">
        <x:v>Plan / populacja</x:v>
      </x:c>
      <x:c r="C16" s="35" t="str">
        <x:v>Wykonane / udane</x:v>
      </x:c>
      <x:c r="D16" s="35" t="str">
        <x:v>Wskaźnik</x:v>
      </x:c>
      <x:c r="E16" s="35" t="str">
        <x:v>Źródło / dowód</x:v>
      </x:c>
      <x:c r="F16" s="35" t="str">
        <x:v>Komentarz</x:v>
      </x:c>
      <x:c r="G16" s="15" t="str">
        <x:v>Działanie</x:v>
      </x:c>
      <x:c r="H16" s="2"/>
      <x:c r="I16" s="2"/>
      <x:c r="J16" s="2"/>
    </x:row>
    <x:row r="17" ht="42" customHeight="1">
      <x:c r="A17" s="47" t="str">
        <x:v>Wykonanie kopii</x:v>
      </x:c>
      <x:c r="B17" s="51"/>
      <x:c r="C17" s="51"/>
      <x:c r="D17" s="52" t="str">
        <x:f>IF(COUNT(B17:C17)&lt;2,"n.a.",IF(OR(B17&lt;0,C17&lt;0,C17&gt;B17),"sprawdź",IF(B17=0,"n.a.",C17/B17)))</x:f>
        <x:v>n.a.</x:v>
      </x:c>
      <x:c r="E17" s="48"/>
      <x:c r="F17" s="48"/>
      <x:c r="G17" s="48"/>
      <x:c r="H17" s="2"/>
      <x:c r="I17" s="2"/>
      <x:c r="J17" s="2"/>
    </x:row>
    <x:row r="18" ht="42" customHeight="1">
      <x:c r="A18" s="47" t="str">
        <x:v>Próby odtworzenia</x:v>
      </x:c>
      <x:c r="B18" s="51"/>
      <x:c r="C18" s="51"/>
      <x:c r="D18" s="52" t="str">
        <x:f>IF(COUNT(B18:C18)&lt;2,"n.a.",IF(OR(B18&lt;0,C18&lt;0,C18&gt;B18),"sprawdź",IF(B18=0,"n.a.",C18/B18)))</x:f>
        <x:v>n.a.</x:v>
      </x:c>
      <x:c r="E18" s="48"/>
      <x:c r="F18" s="48"/>
      <x:c r="G18" s="48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 t="str">
        <x:v>Kopie: B17 = zaplanowane zadania; C17 = zadania wykonane poprawnie.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 t="str">
        <x:v>Odtworzenie: B18 = przeprowadzone próby; C18 = próby zakończone pozytywnie.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 t="str">
        <x:v>SLA: wybierz jeden cel, np. czas reakcji. Licznik i mianownik muszą dotyczyć tej samej populacji.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 t="str">
        <x:v>Zamknięcia mogą pochodzić z wcześniejszych okresów. Brak populacji nie oznacza 100% realizacji.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</x:sheetData>
  <x:conditionalFormatting sqref="G6:G9">
    <x:cfRule type="containsText" dxfId="6" priority="1" operator="containsText" text="uzupełnij"/>
    <x:cfRule type="containsText" dxfId="7" priority="2" operator="containsText" text="sprawdź"/>
  </x:conditionalFormatting>
  <x:dataValidations count="2">
    <x:dataValidation type="whole" operator="between" sqref="B6:E9">
      <x:formula1>0</x:formula1>
      <x:formula2>1000000</x:formula2>
    </x:dataValidation>
    <x:dataValidation type="decimal" operator="between" sqref="B17:C18">
      <x:formula1>0</x:formula1>
      <x:formula2>10000000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1" hidden="0" customWidth="1"/>
    <x:col min="3" max="3" width="21" hidden="0" customWidth="1"/>
    <x:col min="4" max="4" width="22" hidden="0" customWidth="1"/>
    <x:col min="5" max="5" width="23" hidden="0" customWidth="1"/>
    <x:col min="6" max="6" width="25" hidden="0" customWidth="1"/>
    <x:col min="7" max="7" width="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Rejestr korzyści: wydatki i odzyskany czas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Porównuj ten sam zakres i okres. Puste wiersze wymagają danych oraz dowodów.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4"/>
      <x:c r="B4" s="4"/>
      <x:c r="C4" s="4"/>
      <x:c r="D4" s="4"/>
      <x:c r="E4" s="4"/>
      <x:c r="F4" s="4"/>
      <x:c r="G4" s="4"/>
      <x:c r="H4" s="2"/>
      <x:c r="I4" s="2"/>
      <x:c r="J4" s="2"/>
    </x:row>
    <x:row r="5" ht="34" customHeight="1">
      <x:c r="A5" s="14" t="str">
        <x:v>Wydatek / zł za okres</x:v>
      </x:c>
      <x:c r="B5" s="35" t="str">
        <x:v>Przed zmianą</x:v>
      </x:c>
      <x:c r="C5" s="35" t="str">
        <x:v>Po zmianie</x:v>
      </x:c>
      <x:c r="D5" s="35" t="str">
        <x:v>Różnica</x:v>
      </x:c>
      <x:c r="E5" s="35" t="str">
        <x:v>Okres / zakres</x:v>
      </x:c>
      <x:c r="F5" s="35" t="str">
        <x:v>Właściciel</x:v>
      </x:c>
      <x:c r="G5" s="15" t="str">
        <x:v>Dowód</x:v>
      </x:c>
      <x:c r="H5" s="2"/>
      <x:c r="I5" s="2"/>
      <x:c r="J5" s="2"/>
    </x:row>
    <x:row r="6" ht="42" customHeight="1">
      <x:c r="A6" s="47" t="str">
        <x:v>Obsługa i personel</x:v>
      </x:c>
      <x:c r="B6" s="53"/>
      <x:c r="C6" s="53"/>
      <x:c r="D6" s="54" t="str">
        <x:f>IF(COUNT(B6:C6)=2,B6-C6,"n.a.")</x:f>
        <x:v>n.a.</x:v>
      </x:c>
      <x:c r="E6" s="48"/>
      <x:c r="F6" s="48"/>
      <x:c r="G6" s="48"/>
      <x:c r="H6" s="2"/>
      <x:c r="I6" s="2"/>
      <x:c r="J6" s="2"/>
    </x:row>
    <x:row r="7" ht="42" customHeight="1">
      <x:c r="A7" s="47" t="str">
        <x:v>Narzędzia / licencje</x:v>
      </x:c>
      <x:c r="B7" s="53"/>
      <x:c r="C7" s="53"/>
      <x:c r="D7" s="54" t="str">
        <x:f>IF(COUNT(B7:C7)=2,B7-C7,"n.a.")</x:f>
        <x:v>n.a.</x:v>
      </x:c>
      <x:c r="E7" s="48"/>
      <x:c r="F7" s="48"/>
      <x:c r="G7" s="48"/>
      <x:c r="H7" s="2"/>
      <x:c r="I7" s="2"/>
      <x:c r="J7" s="2"/>
    </x:row>
    <x:row r="8" ht="42" customHeight="1">
      <x:c r="A8" s="47" t="str">
        <x:v>Prace dodatkowe</x:v>
      </x:c>
      <x:c r="B8" s="53"/>
      <x:c r="C8" s="53"/>
      <x:c r="D8" s="54" t="str">
        <x:f>IF(COUNT(B8:C8)=2,B8-C8,"n.a.")</x:f>
        <x:v>n.a.</x:v>
      </x:c>
      <x:c r="E8" s="48"/>
      <x:c r="F8" s="48"/>
      <x:c r="G8" s="48"/>
      <x:c r="H8" s="2"/>
      <x:c r="I8" s="2"/>
      <x:c r="J8" s="2"/>
    </x:row>
    <x:row r="9" ht="42" customHeight="1">
      <x:c r="A9" s="47" t="str">
        <x:v>Inny koszt do opisania</x:v>
      </x:c>
      <x:c r="B9" s="53"/>
      <x:c r="C9" s="53"/>
      <x:c r="D9" s="54" t="str">
        <x:f>IF(COUNT(B9:C9)=2,B9-C9,"n.a.")</x:f>
        <x:v>n.a.</x:v>
      </x:c>
      <x:c r="E9" s="48"/>
      <x:c r="F9" s="48"/>
      <x:c r="G9" s="48"/>
      <x:c r="H9" s="2"/>
      <x:c r="I9" s="2"/>
      <x:c r="J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34" customHeight="1">
      <x:c r="A13" s="14" t="str">
        <x:v>Zakłócenie / godziny za okres</x:v>
      </x:c>
      <x:c r="B13" s="35" t="str">
        <x:v>Przed zmianą</x:v>
      </x:c>
      <x:c r="C13" s="35" t="str">
        <x:v>Po zmianie</x:v>
      </x:c>
      <x:c r="D13" s="35" t="str">
        <x:v>Odzyskane godziny</x:v>
      </x:c>
      <x:c r="E13" s="35" t="str">
        <x:v>Okres / zakres</x:v>
      </x:c>
      <x:c r="F13" s="35" t="str">
        <x:v>Właściciel</x:v>
      </x:c>
      <x:c r="G13" s="15" t="str">
        <x:v>Źródło pomiaru</x:v>
      </x:c>
      <x:c r="H13" s="2"/>
      <x:c r="I13" s="2"/>
      <x:c r="J13" s="2"/>
    </x:row>
    <x:row r="14" ht="42" customHeight="1">
      <x:c r="A14" s="47" t="str">
        <x:v>Przestoje użytkowników</x:v>
      </x:c>
      <x:c r="B14" s="55"/>
      <x:c r="C14" s="55"/>
      <x:c r="D14" s="56" t="str">
        <x:f>IF(COUNT(B14:C14)=2,B14-C14,"n.a.")</x:f>
        <x:v>n.a.</x:v>
      </x:c>
      <x:c r="E14" s="48"/>
      <x:c r="F14" s="48"/>
      <x:c r="G14" s="48"/>
      <x:c r="H14" s="2"/>
      <x:c r="I14" s="2"/>
      <x:c r="J14" s="2"/>
    </x:row>
    <x:row r="15" ht="42" customHeight="1">
      <x:c r="A15" s="47" t="str">
        <x:v>Powtarzalne czynności</x:v>
      </x:c>
      <x:c r="B15" s="55"/>
      <x:c r="C15" s="55"/>
      <x:c r="D15" s="56" t="str">
        <x:f>IF(COUNT(B15:C15)=2,B15-C15,"n.a.")</x:f>
        <x:v>n.a.</x:v>
      </x:c>
      <x:c r="E15" s="48"/>
      <x:c r="F15" s="48"/>
      <x:c r="G15" s="48"/>
      <x:c r="H15" s="2"/>
      <x:c r="I15" s="2"/>
      <x:c r="J15" s="2"/>
    </x:row>
    <x:row r="16" ht="42" customHeight="1">
      <x:c r="A16" s="47" t="str">
        <x:v>Koordynacja zgłoszeń</x:v>
      </x:c>
      <x:c r="B16" s="55"/>
      <x:c r="C16" s="55"/>
      <x:c r="D16" s="56" t="str">
        <x:f>IF(COUNT(B16:C16)=2,B16-C16,"n.a.")</x:f>
        <x:v>n.a.</x:v>
      </x:c>
      <x:c r="E16" s="48"/>
      <x:c r="F16" s="48"/>
      <x:c r="G16" s="48"/>
      <x:c r="H16" s="2"/>
      <x:c r="I16" s="2"/>
      <x:c r="J16" s="2"/>
    </x:row>
    <x:row r="17" ht="42" customHeight="1">
      <x:c r="A17" s="47" t="str">
        <x:v>Inny czas do opisania</x:v>
      </x:c>
      <x:c r="B17" s="55"/>
      <x:c r="C17" s="55"/>
      <x:c r="D17" s="56" t="str">
        <x:f>IF(COUNT(B17:C17)=2,B17-C17,"n.a.")</x:f>
        <x:v>n.a.</x:v>
      </x:c>
      <x:c r="E17" s="48"/>
      <x:c r="F17" s="48"/>
      <x:c r="G17" s="48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 t="str">
        <x:v>Odzyskane godziny nie są automatycznie oszczędnością pieniężną. Nie sumuj kwot z godzinami.</x:v>
      </x:c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 t="str">
        <x:v>Oszczędność wymaga potwierdzenia, że wydatek rzeczywiście można ograniczyć.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</x:sheetData>
  <x:dataValidations count="2">
    <x:dataValidation type="decimal" operator="between" sqref="B6:C9">
      <x:formula1>0</x:formula1>
      <x:formula2>10000000</x:formula2>
    </x:dataValidation>
    <x:dataValidation type="decimal" operator="between" sqref="B14:C17">
      <x:formula1>0</x:formula1>
      <x:formula2>10000000</x:formula2>
    </x:dataValidation>
  </x:dataValidations>
  <x:pageMargins left="0.7" right="0.7" top="0.75" bottom="0.75" header="0.3" footer="0.3"/>
</x:worksheet>
</file>